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showInkAnnotation="0" autoCompressPictures="0"/>
  <mc:AlternateContent xmlns:mc="http://schemas.openxmlformats.org/markup-compatibility/2006">
    <mc:Choice Requires="x15">
      <x15ac:absPath xmlns:x15ac="http://schemas.microsoft.com/office/spreadsheetml/2010/11/ac" url="\\vmware-host\Shared Folders\Documents\"/>
    </mc:Choice>
  </mc:AlternateContent>
  <bookViews>
    <workbookView xWindow="0" yWindow="0" windowWidth="28800" windowHeight="16455" tabRatio="500"/>
  </bookViews>
  <sheets>
    <sheet name="Overview" sheetId="3" r:id="rId1"/>
    <sheet name="Detailed calculations" sheetId="2" r:id="rId2"/>
  </sheets>
  <definedNames>
    <definedName name="AOV_A" localSheetId="0">Overview!$M$29</definedName>
    <definedName name="AOV_A">'Detailed calculations'!$C$45</definedName>
    <definedName name="AOV_B" localSheetId="0">Overview!$M$30</definedName>
    <definedName name="AOV_B">'Detailed calculations'!$C$46</definedName>
    <definedName name="AOV_C" localSheetId="0">Overview!$M$31</definedName>
    <definedName name="AOV_C">'Detailed calculations'!$C$47</definedName>
    <definedName name="AOV_CI_Range_A" localSheetId="0">Overview!$Y$29</definedName>
    <definedName name="AOV_CI_Range_A">'Detailed calculations'!$O$45</definedName>
    <definedName name="AOV_CI_Range_B" localSheetId="0">Overview!$Y$30</definedName>
    <definedName name="AOV_CI_Range_B">'Detailed calculations'!$O$46</definedName>
    <definedName name="AOV_CI_Range_C" localSheetId="0">Overview!$Y$31</definedName>
    <definedName name="AOV_CI_Range_C">'Detailed calculations'!$O$47</definedName>
    <definedName name="AOV_CI_Range_D" localSheetId="0">Overview!$Y$32</definedName>
    <definedName name="AOV_CI_Range_D">'Detailed calculations'!$O$48</definedName>
    <definedName name="AOV_CI_Range_E" localSheetId="0">Overview!$Y$33</definedName>
    <definedName name="AOV_CI_Range_E">'Detailed calculations'!$O$49</definedName>
    <definedName name="AOV_CI_Range_F" localSheetId="0">Overview!$Y$34</definedName>
    <definedName name="AOV_CI_Range_F">'Detailed calculations'!$O$50</definedName>
    <definedName name="AOV_D" localSheetId="0">Overview!$M$32</definedName>
    <definedName name="AOV_D">'Detailed calculations'!$C$48</definedName>
    <definedName name="AOV_E" localSheetId="0">Overview!$M$33</definedName>
    <definedName name="AOV_E">'Detailed calculations'!$C$49</definedName>
    <definedName name="AOV_F" localSheetId="0">Overview!$M$34</definedName>
    <definedName name="AOV_F">'Detailed calculations'!$C$50</definedName>
    <definedName name="AOV_Lift_A" localSheetId="0">Overview!$W$29</definedName>
    <definedName name="AOV_Lift_A">'Detailed calculations'!$M$45</definedName>
    <definedName name="AOV_Lift_B" localSheetId="0">Overview!$W$30</definedName>
    <definedName name="AOV_Lift_B">'Detailed calculations'!$M$46</definedName>
    <definedName name="AOV_Lift_C" localSheetId="0">Overview!$W$31</definedName>
    <definedName name="AOV_Lift_C">'Detailed calculations'!$M$47</definedName>
    <definedName name="AOV_Lift_D" localSheetId="0">Overview!$W$32</definedName>
    <definedName name="AOV_Lift_D">'Detailed calculations'!$M$48</definedName>
    <definedName name="AOV_Lift_E" localSheetId="0">Overview!$W$33</definedName>
    <definedName name="AOV_Lift_E">'Detailed calculations'!$M$49</definedName>
    <definedName name="AOV_Lift_F" localSheetId="0">Overview!$W$34</definedName>
    <definedName name="AOV_Lift_F">'Detailed calculations'!$M$50</definedName>
    <definedName name="AOV_Lift_Var_A" localSheetId="0">Overview!$X$30+Overview!$X$29</definedName>
    <definedName name="AOV_Lift_Var_A">'Detailed calculations'!$N$46+'Detailed calculations'!$N$45</definedName>
    <definedName name="AOV_Lift_Var_B" localSheetId="0">Overview!$X$30</definedName>
    <definedName name="AOV_Lift_Var_B">'Detailed calculations'!$N$46</definedName>
    <definedName name="AOV_Lift_Var_C" localSheetId="0">Overview!$X$31</definedName>
    <definedName name="AOV_Lift_Var_C">'Detailed calculations'!$N$47</definedName>
    <definedName name="AOV_Lift_Var_D" localSheetId="0">Overview!$X$32</definedName>
    <definedName name="AOV_Lift_Var_D">'Detailed calculations'!$N$48</definedName>
    <definedName name="AOV_Lift_Var_E" localSheetId="0">Overview!$X$33</definedName>
    <definedName name="AOV_Lift_Var_E">'Detailed calculations'!$N$49</definedName>
    <definedName name="AOV_Lift_Var_F" localSheetId="0">Overview!$X$34</definedName>
    <definedName name="AOV_Lift_Var_F">'Detailed calculations'!$N$50</definedName>
    <definedName name="CI_A" localSheetId="0">Overview!$P$5</definedName>
    <definedName name="CI_A">'Detailed calculations'!$F$21</definedName>
    <definedName name="CI_B" localSheetId="0">Overview!$P$6</definedName>
    <definedName name="CI_B">'Detailed calculations'!$F$22</definedName>
    <definedName name="CI_C" localSheetId="0">Overview!$P$7</definedName>
    <definedName name="CI_C">'Detailed calculations'!$F$23</definedName>
    <definedName name="CI_D" localSheetId="0">Overview!$P$8</definedName>
    <definedName name="CI_D">'Detailed calculations'!$F$24</definedName>
    <definedName name="CI_E" localSheetId="0">Overview!$P$9</definedName>
    <definedName name="CI_E">'Detailed calculations'!$F$25</definedName>
    <definedName name="CI_F" localSheetId="0">Overview!$P$10</definedName>
    <definedName name="CI_F">'Detailed calculations'!$F$26</definedName>
    <definedName name="ConfRangeArev" localSheetId="0">Overview!$P$17</definedName>
    <definedName name="ConfRangeArev">'Detailed calculations'!$F$33</definedName>
    <definedName name="ConfRangeBrev" localSheetId="0">Overview!$P$18</definedName>
    <definedName name="ConfRangeBrev">'Detailed calculations'!$F$34</definedName>
    <definedName name="ConfRangeCrev" localSheetId="0">Overview!$P$19</definedName>
    <definedName name="ConfRangeCrev">'Detailed calculations'!$F$35</definedName>
    <definedName name="ConfRangeDrev" localSheetId="0">Overview!$P$20</definedName>
    <definedName name="ConfRangeDrev">'Detailed calculations'!$F$36</definedName>
    <definedName name="ConfRangeErev" localSheetId="0">Overview!$P$21</definedName>
    <definedName name="ConfRangeErev">'Detailed calculations'!$F$37</definedName>
    <definedName name="ConfRangeFrev" localSheetId="0">Overview!$P$22</definedName>
    <definedName name="ConfRangeFrev">'Detailed calculations'!$F$38</definedName>
    <definedName name="convA" localSheetId="0">Overview!$E$7</definedName>
    <definedName name="convA">'Detailed calculations'!$E$7</definedName>
    <definedName name="convB" localSheetId="0">Overview!$E$8</definedName>
    <definedName name="convB">'Detailed calculations'!$E$8</definedName>
    <definedName name="convC" localSheetId="0">Overview!$E$9</definedName>
    <definedName name="convC">'Detailed calculations'!$E$9</definedName>
    <definedName name="convD" localSheetId="0">Overview!$E$10</definedName>
    <definedName name="convD">'Detailed calculations'!$E$10</definedName>
    <definedName name="convE" localSheetId="0">Overview!$E$11</definedName>
    <definedName name="convE">'Detailed calculations'!$E$11</definedName>
    <definedName name="convF" localSheetId="0">Overview!$E$12</definedName>
    <definedName name="convF">'Detailed calculations'!$E$12</definedName>
    <definedName name="CR_A" localSheetId="0">Overview!$M$5</definedName>
    <definedName name="CR_A">'Detailed calculations'!$C$21</definedName>
    <definedName name="CR_B" localSheetId="0">Overview!$M$6</definedName>
    <definedName name="CR_B">'Detailed calculations'!$C$22</definedName>
    <definedName name="CR_C" localSheetId="0">Overview!$M$7</definedName>
    <definedName name="CR_C">'Detailed calculations'!$C$23</definedName>
    <definedName name="CR_D" localSheetId="0">Overview!$M$8</definedName>
    <definedName name="CR_D">'Detailed calculations'!$C$24</definedName>
    <definedName name="CR_E" localSheetId="0">Overview!$M$9</definedName>
    <definedName name="CR_E">'Detailed calculations'!$C$25</definedName>
    <definedName name="CR_F" localSheetId="0">Overview!$M$10</definedName>
    <definedName name="CR_F">'Detailed calculations'!$C$26</definedName>
    <definedName name="DOF_A" localSheetId="0">Overview!$U$5</definedName>
    <definedName name="DOF_A">'Detailed calculations'!$K$21</definedName>
    <definedName name="DOF_B" localSheetId="0">Overview!$U$6</definedName>
    <definedName name="DOF_B">'Detailed calculations'!$K$22</definedName>
    <definedName name="DOF_C" localSheetId="0">Overview!$U$7</definedName>
    <definedName name="DOF_C">'Detailed calculations'!$K$23</definedName>
    <definedName name="DOF_D" localSheetId="0">Overview!$U$8</definedName>
    <definedName name="DOF_D">'Detailed calculations'!$K$24</definedName>
    <definedName name="DOF_E" localSheetId="0">Overview!$U$9</definedName>
    <definedName name="DOF_E">'Detailed calculations'!$K$25</definedName>
    <definedName name="DOF_F" localSheetId="0">Overview!$U$10</definedName>
    <definedName name="DOF_F">'Detailed calculations'!$K$26</definedName>
    <definedName name="Lift_Var_B" localSheetId="0">Overview!$X$6</definedName>
    <definedName name="Lift_Var_B">'Detailed calculations'!$N$22</definedName>
    <definedName name="Lift_Var_C" localSheetId="0">Overview!$X$7</definedName>
    <definedName name="Lift_Var_C">'Detailed calculations'!$N$23</definedName>
    <definedName name="Lift_Var_D" localSheetId="0">Overview!$X$8</definedName>
    <definedName name="Lift_Var_D">'Detailed calculations'!$N$24</definedName>
    <definedName name="Lift_Var_E" localSheetId="0">Overview!$X$9</definedName>
    <definedName name="Lift_Var_E">'Detailed calculations'!$N$25</definedName>
    <definedName name="Lift_Var_F" localSheetId="0">Overview!$X$10</definedName>
    <definedName name="Lift_Var_F">'Detailed calculations'!$N$26</definedName>
    <definedName name="LiftB" localSheetId="0">Overview!$W$6</definedName>
    <definedName name="LiftB">'Detailed calculations'!$M$22</definedName>
    <definedName name="LiftC" localSheetId="0">Overview!$W$7</definedName>
    <definedName name="LiftC">'Detailed calculations'!$M$23</definedName>
    <definedName name="LiftD" localSheetId="0">Overview!$W$8</definedName>
    <definedName name="LiftD">'Detailed calculations'!$M$24</definedName>
    <definedName name="LiftE" localSheetId="0">Overview!$W$9</definedName>
    <definedName name="LiftE">'Detailed calculations'!$M$25</definedName>
    <definedName name="LiftF" localSheetId="0">Overview!$W$10</definedName>
    <definedName name="LiftF">'Detailed calculations'!$M$26</definedName>
    <definedName name="recipeA" localSheetId="0">#REF!</definedName>
    <definedName name="recipeA">#REF!</definedName>
    <definedName name="recipeB" localSheetId="0">#REF!</definedName>
    <definedName name="recipeB">#REF!</definedName>
    <definedName name="recipeC" localSheetId="0">#REF!</definedName>
    <definedName name="recipeC">#REF!</definedName>
    <definedName name="recipeD" localSheetId="0">#REF!</definedName>
    <definedName name="recipeD">#REF!</definedName>
    <definedName name="RevLiftA" localSheetId="0">Overview!$W$17</definedName>
    <definedName name="RevLiftA">'Detailed calculations'!$M$33</definedName>
    <definedName name="RevLiftB" localSheetId="0">Overview!$W$18</definedName>
    <definedName name="RevLiftB">'Detailed calculations'!$M$34</definedName>
    <definedName name="RevLiftC" localSheetId="0">Overview!$W$19</definedName>
    <definedName name="RevLiftC">'Detailed calculations'!$M$35</definedName>
    <definedName name="RevLiftCIRangeA" localSheetId="0">Overview!$Y$17</definedName>
    <definedName name="RevLiftCIRangeA">'Detailed calculations'!$O$33</definedName>
    <definedName name="RevLiftCIRangeB" localSheetId="0">Overview!$Y$18</definedName>
    <definedName name="RevLiftCIRangeB">'Detailed calculations'!$O$34</definedName>
    <definedName name="RevLiftCIRangeC" localSheetId="0">Overview!$Y$19</definedName>
    <definedName name="RevLiftCIRangeC">'Detailed calculations'!$O$35</definedName>
    <definedName name="RevLiftCIRangeD" localSheetId="0">Overview!$Y$20</definedName>
    <definedName name="RevLiftCIRangeD">'Detailed calculations'!$O$36</definedName>
    <definedName name="RevLiftCIRangeE" localSheetId="0">Overview!$Y$21</definedName>
    <definedName name="RevLiftCIRangeE">'Detailed calculations'!$O$37</definedName>
    <definedName name="RevLiftCIRangeF" localSheetId="0">Overview!$Y$22</definedName>
    <definedName name="RevLiftCIRangeF">'Detailed calculations'!$O$38</definedName>
    <definedName name="RevLiftD" localSheetId="0">Overview!$W$20</definedName>
    <definedName name="RevLiftD">'Detailed calculations'!$M$36</definedName>
    <definedName name="RevLiftE" localSheetId="0">Overview!$W$21</definedName>
    <definedName name="RevLiftE">'Detailed calculations'!$M$37</definedName>
    <definedName name="RevLiftF" localSheetId="0">Overview!$W$22</definedName>
    <definedName name="RevLiftF">'Detailed calculations'!$M$38</definedName>
    <definedName name="RevLiftVarA" localSheetId="0">Overview!$X$17</definedName>
    <definedName name="RevLiftVarA">'Detailed calculations'!$N$33</definedName>
    <definedName name="RevLiftVarB" localSheetId="0">Overview!$X$18</definedName>
    <definedName name="RevLiftVarB">'Detailed calculations'!$N$34</definedName>
    <definedName name="RevLiftVarC" localSheetId="0">Overview!$X$19</definedName>
    <definedName name="RevLiftVarC">'Detailed calculations'!$N$35</definedName>
    <definedName name="RevLiftVarD" localSheetId="0">Overview!$X$20</definedName>
    <definedName name="RevLiftVarD">'Detailed calculations'!$N$36</definedName>
    <definedName name="RevLiftVarE" localSheetId="0">Overview!$X$21</definedName>
    <definedName name="RevLiftVarE">'Detailed calculations'!$N$37</definedName>
    <definedName name="RevLiftVarF" localSheetId="0">Overview!$X$22</definedName>
    <definedName name="RevLiftVarF">'Detailed calculations'!$N$38</definedName>
    <definedName name="RevPerVisitorA" localSheetId="0">Overview!$M$17</definedName>
    <definedName name="RevPerVisitorA">'Detailed calculations'!$C$33</definedName>
    <definedName name="RevPerVisitorB" localSheetId="0">Overview!$M$18</definedName>
    <definedName name="RevPerVisitorB">'Detailed calculations'!$C$34</definedName>
    <definedName name="RevPerVisitorC" localSheetId="0">Overview!$M$19</definedName>
    <definedName name="RevPerVisitorC">'Detailed calculations'!$C$35</definedName>
    <definedName name="RevPerVisitorD" localSheetId="0">Overview!$M$20</definedName>
    <definedName name="RevPerVisitorD">'Detailed calculations'!$C$36</definedName>
    <definedName name="RevPerVisitorE" localSheetId="0">Overview!$M$21</definedName>
    <definedName name="RevPerVisitorE">'Detailed calculations'!$C$37</definedName>
    <definedName name="RevPerVisitorF" localSheetId="0">Overview!$M$22</definedName>
    <definedName name="RevPerVisitorF">'Detailed calculations'!$C$38</definedName>
    <definedName name="SalesA" localSheetId="0">Overview!$F$7</definedName>
    <definedName name="SalesA">'Detailed calculations'!$F$7</definedName>
    <definedName name="SalesB" localSheetId="0">Overview!$F$8</definedName>
    <definedName name="SalesB">'Detailed calculations'!$F$8</definedName>
    <definedName name="SalesC" localSheetId="0">Overview!$F$9</definedName>
    <definedName name="SalesC">'Detailed calculations'!$F$9</definedName>
    <definedName name="SalesD" localSheetId="0">Overview!$F$10</definedName>
    <definedName name="SalesD">'Detailed calculations'!$F$10</definedName>
    <definedName name="SalesE" localSheetId="0">Overview!$F$11</definedName>
    <definedName name="SalesE">'Detailed calculations'!$F$11</definedName>
    <definedName name="SalesF" localSheetId="0">Overview!$F$12</definedName>
    <definedName name="SalesF">'Detailed calculations'!$F$12</definedName>
    <definedName name="SE_A" localSheetId="0">Overview!$S$5</definedName>
    <definedName name="SE_A">'Detailed calculations'!$I$21</definedName>
    <definedName name="SE_A_Squared" localSheetId="0">Overview!$O$5</definedName>
    <definedName name="SE_A_Squared">'Detailed calculations'!$E$21</definedName>
    <definedName name="SE_AOV_A" localSheetId="0">Overview!$O$29</definedName>
    <definedName name="SE_AOV_A">'Detailed calculations'!$E$45</definedName>
    <definedName name="SE_AOV_B" localSheetId="0">Overview!$O$30</definedName>
    <definedName name="SE_AOV_B">'Detailed calculations'!$E$46</definedName>
    <definedName name="SE_AOV_C" localSheetId="0">Overview!$O$31</definedName>
    <definedName name="SE_AOV_C">'Detailed calculations'!$E$47</definedName>
    <definedName name="SE_AOV_D" localSheetId="0">Overview!$O$32</definedName>
    <definedName name="SE_AOV_D">'Detailed calculations'!$E$48</definedName>
    <definedName name="SE_AOV_E" localSheetId="0">Overview!$O$33</definedName>
    <definedName name="SE_AOV_E">'Detailed calculations'!$E$49</definedName>
    <definedName name="SE_AOV_F" localSheetId="0">Overview!$O$34</definedName>
    <definedName name="SE_AOV_F">'Detailed calculations'!$E$50</definedName>
    <definedName name="SE_B_Squared" localSheetId="0">Overview!$O$6</definedName>
    <definedName name="SE_B_Squared">'Detailed calculations'!$E$22</definedName>
    <definedName name="SE_BminusA" localSheetId="0">Overview!$S$6</definedName>
    <definedName name="SE_BminusA">'Detailed calculations'!$I$22</definedName>
    <definedName name="SE_C_Squared" localSheetId="0">Overview!$O$7</definedName>
    <definedName name="SE_C_Squared">'Detailed calculations'!$E$23</definedName>
    <definedName name="SE_CminusA" localSheetId="0">Overview!$S$7</definedName>
    <definedName name="SE_CminusA">'Detailed calculations'!$I$23</definedName>
    <definedName name="SE_D_Squared" localSheetId="0">Overview!$O$8</definedName>
    <definedName name="SE_D_Squared">'Detailed calculations'!$E$24</definedName>
    <definedName name="SE_DminusA" localSheetId="0">Overview!$S$8</definedName>
    <definedName name="SE_DminusA">'Detailed calculations'!$I$24</definedName>
    <definedName name="SE_E_Squared" localSheetId="0">Overview!$O$9</definedName>
    <definedName name="SE_E_Squared">'Detailed calculations'!$E$25</definedName>
    <definedName name="SE_EminusA" localSheetId="0">Overview!$S$9</definedName>
    <definedName name="SE_EminusA">'Detailed calculations'!$I$25</definedName>
    <definedName name="SE_F_Squared" localSheetId="0">Overview!$O$10</definedName>
    <definedName name="SE_F_Squared">'Detailed calculations'!$E$26</definedName>
    <definedName name="SE_FminusA" localSheetId="0">Overview!$S$10</definedName>
    <definedName name="SE_FminusA">'Detailed calculations'!$I$26</definedName>
    <definedName name="SEdiffA_AOV" localSheetId="0">Overview!$S$29</definedName>
    <definedName name="SEdiffA_AOV">'Detailed calculations'!$I$45</definedName>
    <definedName name="SEdiffArev" localSheetId="0">Overview!$S$17</definedName>
    <definedName name="SEdiffArev">'Detailed calculations'!$I$33</definedName>
    <definedName name="SEdiffB_AOV" localSheetId="0">Overview!$S$30</definedName>
    <definedName name="SEdiffB_AOV">'Detailed calculations'!$I$46</definedName>
    <definedName name="SEdiffBrev" localSheetId="0">Overview!$S$18</definedName>
    <definedName name="SEdiffBrev">'Detailed calculations'!$I$34</definedName>
    <definedName name="SEdiffC_AOV" localSheetId="0">Overview!$S$31</definedName>
    <definedName name="SEdiffC_AOV">'Detailed calculations'!$I$47</definedName>
    <definedName name="SEdiffCrev" localSheetId="0">Overview!$S$19</definedName>
    <definedName name="SEdiffCrev">'Detailed calculations'!$I$35</definedName>
    <definedName name="SEdiffD_AOV" localSheetId="0">Overview!$S$32</definedName>
    <definedName name="SEdiffD_AOV">'Detailed calculations'!$I$48</definedName>
    <definedName name="SEdiffDrev" localSheetId="0">Overview!$S$20</definedName>
    <definedName name="SEdiffDrev">'Detailed calculations'!$I$36</definedName>
    <definedName name="SEdiffE_AOV" localSheetId="0">Overview!$S$33</definedName>
    <definedName name="SEdiffE_AOV">'Detailed calculations'!$I$49</definedName>
    <definedName name="SEdiffErev" localSheetId="0">Overview!$S$21</definedName>
    <definedName name="SEdiffErev">'Detailed calculations'!$I$37</definedName>
    <definedName name="SEdiffF_AOV" localSheetId="0">Overview!$S$34</definedName>
    <definedName name="SEdiffF_AOV">'Detailed calculations'!$I$50</definedName>
    <definedName name="SEdiffFrev" localSheetId="0">Overview!$S$22</definedName>
    <definedName name="SEdiffFrev">'Detailed calculations'!$I$38</definedName>
    <definedName name="SErevA" localSheetId="0">Overview!$O$17</definedName>
    <definedName name="SErevA">'Detailed calculations'!$E$33</definedName>
    <definedName name="SErevB" localSheetId="0">Overview!$O$18</definedName>
    <definedName name="SErevB">'Detailed calculations'!$E$34</definedName>
    <definedName name="SErevC" localSheetId="0">Overview!$O$19</definedName>
    <definedName name="SErevC">'Detailed calculations'!$E$35</definedName>
    <definedName name="SErevD" localSheetId="0">Overview!$O$20</definedName>
    <definedName name="SErevD">'Detailed calculations'!$E$36</definedName>
    <definedName name="SErevE" localSheetId="0">Overview!$O$21</definedName>
    <definedName name="SErevE">'Detailed calculations'!$E$37</definedName>
    <definedName name="SErevF" localSheetId="0">Overview!$O$22</definedName>
    <definedName name="SErevF">'Detailed calculations'!$E$38</definedName>
    <definedName name="sig_level" localSheetId="0">Overview!$I$7:$J$7</definedName>
    <definedName name="sig_level">'Detailed calculations'!$I$7:$J$7</definedName>
    <definedName name="signal_noiseA_AOV" localSheetId="0">Overview!$T$29</definedName>
    <definedName name="signal_noiseA_AOV">'Detailed calculations'!$J$45</definedName>
    <definedName name="signal_noiseArev" localSheetId="0">Overview!$T$17</definedName>
    <definedName name="signal_noiseArev">'Detailed calculations'!$J$33</definedName>
    <definedName name="signal_noiseB_AOV" localSheetId="0">Overview!$T$30</definedName>
    <definedName name="signal_noiseB_AOV">'Detailed calculations'!$J$46</definedName>
    <definedName name="signal_noiseBrev" localSheetId="0">Overview!$T$18</definedName>
    <definedName name="signal_noiseBrev">'Detailed calculations'!$J$34</definedName>
    <definedName name="signal_noiseC_AOV" localSheetId="0">Overview!$T$31</definedName>
    <definedName name="signal_noiseC_AOV">'Detailed calculations'!$J$47</definedName>
    <definedName name="signal_noiseCrev" localSheetId="0">Overview!$T$19</definedName>
    <definedName name="signal_noiseCrev">'Detailed calculations'!$J$35</definedName>
    <definedName name="signal_noiseD_AOV" localSheetId="0">Overview!$T$32</definedName>
    <definedName name="signal_noiseD_AOV">'Detailed calculations'!$J$48</definedName>
    <definedName name="signal_noiseDrev" localSheetId="0">Overview!$T$20</definedName>
    <definedName name="signal_noiseDrev">'Detailed calculations'!$J$36</definedName>
    <definedName name="signal_noiseE_AOV" localSheetId="0">Overview!$T$33</definedName>
    <definedName name="signal_noiseE_AOV">'Detailed calculations'!$J$49</definedName>
    <definedName name="signal_noiseErev" localSheetId="0">Overview!$T$21</definedName>
    <definedName name="signal_noiseErev">'Detailed calculations'!$J$37</definedName>
    <definedName name="signal_noiseF_AOV" localSheetId="0">Overview!$T$34</definedName>
    <definedName name="signal_noiseF_AOV">'Detailed calculations'!$J$50</definedName>
    <definedName name="signal_noiseFrev" localSheetId="0">Overview!$T$22</definedName>
    <definedName name="signal_noiseFrev">'Detailed calculations'!$J$38</definedName>
    <definedName name="SignalNoiseA" localSheetId="0">Overview!$T$5</definedName>
    <definedName name="SignalNoiseA">'Detailed calculations'!$J$21</definedName>
    <definedName name="SignalNoiseB" localSheetId="0">Overview!$T$6</definedName>
    <definedName name="SignalNoiseB">'Detailed calculations'!$J$22</definedName>
    <definedName name="SignalNoiseC" localSheetId="0">Overview!$T$7</definedName>
    <definedName name="SignalNoiseC">'Detailed calculations'!$J$23</definedName>
    <definedName name="SignalNoiseD" localSheetId="0">Overview!$T$8</definedName>
    <definedName name="SignalNoiseD">'Detailed calculations'!$J$24</definedName>
    <definedName name="SignalNoiseE" localSheetId="0">Overview!$T$9</definedName>
    <definedName name="SignalNoiseE">'Detailed calculations'!$J$25</definedName>
    <definedName name="SignalNoiseF" localSheetId="0">Overview!$T$10</definedName>
    <definedName name="SignalNoiseF">'Detailed calculations'!$J$26</definedName>
    <definedName name="st_dev_AOV_A" localSheetId="0">Overview!$N$29</definedName>
    <definedName name="st_dev_AOV_A">'Detailed calculations'!$D$45</definedName>
    <definedName name="st_dev_AOV_B" localSheetId="0">Overview!$N$30</definedName>
    <definedName name="st_dev_AOV_B">'Detailed calculations'!$D$46</definedName>
    <definedName name="st_dev_AOV_C" localSheetId="0">Overview!$N$31</definedName>
    <definedName name="st_dev_AOV_C">'Detailed calculations'!$D$47</definedName>
    <definedName name="st_dev_AOV_D" localSheetId="0">Overview!$N$32</definedName>
    <definedName name="st_dev_AOV_D">'Detailed calculations'!$D$48</definedName>
    <definedName name="st_dev_AOV_E" localSheetId="0">Overview!$N$33</definedName>
    <definedName name="st_dev_AOV_E">'Detailed calculations'!$D$49</definedName>
    <definedName name="st_dev_AOV_F" localSheetId="0">Overview!$N$34</definedName>
    <definedName name="st_dev_AOV_F">'Detailed calculations'!$D$50</definedName>
    <definedName name="st_dev_revA" localSheetId="0">Overview!$N$17</definedName>
    <definedName name="st_dev_revA">'Detailed calculations'!$D$33</definedName>
    <definedName name="st_dev_revB" localSheetId="0">Overview!$N$18</definedName>
    <definedName name="st_dev_revB">'Detailed calculations'!$D$34</definedName>
    <definedName name="st_dev_revC" localSheetId="0">Overview!$N$19</definedName>
    <definedName name="st_dev_revC">'Detailed calculations'!$D$35</definedName>
    <definedName name="st_dev_revD" localSheetId="0">Overview!$N$20</definedName>
    <definedName name="st_dev_revD">'Detailed calculations'!$D$36</definedName>
    <definedName name="st_dev_revE" localSheetId="0">Overview!$N$21</definedName>
    <definedName name="st_dev_revE">'Detailed calculations'!$D$37</definedName>
    <definedName name="st_dev_revF" localSheetId="0">Overview!$N$22</definedName>
    <definedName name="st_dev_revF">'Detailed calculations'!$D$38</definedName>
    <definedName name="stdevA" localSheetId="0">Overview!$N$5</definedName>
    <definedName name="stdevA">'Detailed calculations'!$D$21</definedName>
    <definedName name="stdevB" localSheetId="0">Overview!$N$6</definedName>
    <definedName name="stdevB">'Detailed calculations'!$D$22</definedName>
    <definedName name="stdevC" localSheetId="0">Overview!$N$7</definedName>
    <definedName name="stdevC">'Detailed calculations'!$D$23</definedName>
    <definedName name="stdevD" localSheetId="0">Overview!$N$8</definedName>
    <definedName name="stdevD">'Detailed calculations'!$D$24</definedName>
    <definedName name="stdevE" localSheetId="0">Overview!$N$9</definedName>
    <definedName name="stdevE">'Detailed calculations'!$D$25</definedName>
    <definedName name="stdevF" localSheetId="0">Overview!$N$10</definedName>
    <definedName name="stdevF">'Detailed calculations'!$D$26</definedName>
    <definedName name="Sum_Sq_A" localSheetId="0">Overview!$G$7</definedName>
    <definedName name="Sum_Sq_A">'Detailed calculations'!$G$7</definedName>
    <definedName name="Sum_Sq_B" localSheetId="0">Overview!$G$8</definedName>
    <definedName name="Sum_Sq_B">'Detailed calculations'!$G$8</definedName>
    <definedName name="Sum_Sq_C" localSheetId="0">Overview!$G$9</definedName>
    <definedName name="Sum_Sq_C">'Detailed calculations'!$G$9</definedName>
    <definedName name="Sum_Sq_D" localSheetId="0">Overview!$G$10</definedName>
    <definedName name="Sum_Sq_D">'Detailed calculations'!$G$10</definedName>
    <definedName name="Sum_Sq_E" localSheetId="0">Overview!$G$11</definedName>
    <definedName name="Sum_Sq_E">'Detailed calculations'!$G$11</definedName>
    <definedName name="Sum_Sq_F" localSheetId="0">Overview!$G$12</definedName>
    <definedName name="Sum_Sq_F">'Detailed calculations'!$G$12</definedName>
    <definedName name="t_value" localSheetId="0">Overview!$I$9:$I$9</definedName>
    <definedName name="t_value">'Detailed calculations'!$I$9:$I$9</definedName>
    <definedName name="visitorsA" localSheetId="0">Overview!$D$7</definedName>
    <definedName name="visitorsA">'Detailed calculations'!$D$7</definedName>
    <definedName name="visitorsB" localSheetId="0">Overview!$D$8</definedName>
    <definedName name="visitorsB">'Detailed calculations'!$D$8</definedName>
    <definedName name="visitorsC" localSheetId="0">Overview!$D$9</definedName>
    <definedName name="visitorsC">'Detailed calculations'!$D$9</definedName>
    <definedName name="visitorsD" localSheetId="0">Overview!$D$10</definedName>
    <definedName name="visitorsD">'Detailed calculations'!$D$10</definedName>
    <definedName name="visitorsE" localSheetId="0">Overview!$D$11</definedName>
    <definedName name="visitorsE">'Detailed calculations'!$D$11</definedName>
    <definedName name="visitorsF" localSheetId="0">Overview!$D$12</definedName>
    <definedName name="visitorsF">'Detailed calculations'!$D$12</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M34" i="3" l="1"/>
  <c r="M29" i="3"/>
  <c r="W34" i="3"/>
  <c r="I9" i="3"/>
  <c r="N29" i="3"/>
  <c r="O29" i="3"/>
  <c r="N34" i="3"/>
  <c r="O34" i="3"/>
  <c r="X34" i="3"/>
  <c r="Y34" i="3"/>
  <c r="AA34" i="3"/>
  <c r="Z34" i="3"/>
  <c r="S34" i="3"/>
  <c r="T34" i="3"/>
  <c r="U10" i="3"/>
  <c r="V34" i="3"/>
  <c r="U34" i="3"/>
  <c r="R34" i="3"/>
  <c r="Q34" i="3"/>
  <c r="P34" i="3"/>
  <c r="M33" i="3"/>
  <c r="W33" i="3"/>
  <c r="N33" i="3"/>
  <c r="O33" i="3"/>
  <c r="X33" i="3"/>
  <c r="Y33" i="3"/>
  <c r="AA33" i="3"/>
  <c r="Z33" i="3"/>
  <c r="S33" i="3"/>
  <c r="T33" i="3"/>
  <c r="U9" i="3"/>
  <c r="V33" i="3"/>
  <c r="U33" i="3"/>
  <c r="R33" i="3"/>
  <c r="Q33" i="3"/>
  <c r="P33" i="3"/>
  <c r="M32" i="3"/>
  <c r="W32" i="3"/>
  <c r="N32" i="3"/>
  <c r="O32" i="3"/>
  <c r="X32" i="3"/>
  <c r="Y32" i="3"/>
  <c r="AA32" i="3"/>
  <c r="Z32" i="3"/>
  <c r="S32" i="3"/>
  <c r="T32" i="3"/>
  <c r="U8" i="3"/>
  <c r="V32" i="3"/>
  <c r="U32" i="3"/>
  <c r="R32" i="3"/>
  <c r="Q32" i="3"/>
  <c r="P32" i="3"/>
  <c r="M31" i="3"/>
  <c r="W31" i="3"/>
  <c r="N31" i="3"/>
  <c r="O31" i="3"/>
  <c r="X31" i="3"/>
  <c r="Y31" i="3"/>
  <c r="AA31" i="3"/>
  <c r="Z31" i="3"/>
  <c r="S31" i="3"/>
  <c r="T31" i="3"/>
  <c r="U7" i="3"/>
  <c r="V31" i="3"/>
  <c r="U31" i="3"/>
  <c r="R31" i="3"/>
  <c r="Q31" i="3"/>
  <c r="P31" i="3"/>
  <c r="M30" i="3"/>
  <c r="W30" i="3"/>
  <c r="N30" i="3"/>
  <c r="O30" i="3"/>
  <c r="X30" i="3"/>
  <c r="Y30" i="3"/>
  <c r="AA30" i="3"/>
  <c r="Z30" i="3"/>
  <c r="S30" i="3"/>
  <c r="T30" i="3"/>
  <c r="U6" i="3"/>
  <c r="V30" i="3"/>
  <c r="U30" i="3"/>
  <c r="R30" i="3"/>
  <c r="Q30" i="3"/>
  <c r="P30" i="3"/>
  <c r="R29" i="3"/>
  <c r="Q29" i="3"/>
  <c r="P29" i="3"/>
  <c r="M22" i="3"/>
  <c r="M17" i="3"/>
  <c r="W22" i="3"/>
  <c r="N17" i="3"/>
  <c r="O17" i="3"/>
  <c r="N22" i="3"/>
  <c r="O22" i="3"/>
  <c r="X22" i="3"/>
  <c r="Y22" i="3"/>
  <c r="AA22" i="3"/>
  <c r="Z22" i="3"/>
  <c r="S22" i="3"/>
  <c r="T22" i="3"/>
  <c r="V22" i="3"/>
  <c r="U22" i="3"/>
  <c r="P22" i="3"/>
  <c r="R22" i="3"/>
  <c r="Q22" i="3"/>
  <c r="M21" i="3"/>
  <c r="W21" i="3"/>
  <c r="N21" i="3"/>
  <c r="O21" i="3"/>
  <c r="X21" i="3"/>
  <c r="Y21" i="3"/>
  <c r="AA21" i="3"/>
  <c r="Z21" i="3"/>
  <c r="S21" i="3"/>
  <c r="T21" i="3"/>
  <c r="V21" i="3"/>
  <c r="U21" i="3"/>
  <c r="P21" i="3"/>
  <c r="R21" i="3"/>
  <c r="Q21" i="3"/>
  <c r="M20" i="3"/>
  <c r="W20" i="3"/>
  <c r="N20" i="3"/>
  <c r="O20" i="3"/>
  <c r="X20" i="3"/>
  <c r="Y20" i="3"/>
  <c r="AA20" i="3"/>
  <c r="Z20" i="3"/>
  <c r="S20" i="3"/>
  <c r="T20" i="3"/>
  <c r="V20" i="3"/>
  <c r="U20" i="3"/>
  <c r="P20" i="3"/>
  <c r="R20" i="3"/>
  <c r="Q20" i="3"/>
  <c r="M19" i="3"/>
  <c r="W19" i="3"/>
  <c r="N18" i="3"/>
  <c r="O18" i="3"/>
  <c r="N19" i="3"/>
  <c r="O19" i="3"/>
  <c r="X19" i="3"/>
  <c r="Y19" i="3"/>
  <c r="AA19" i="3"/>
  <c r="Z19" i="3"/>
  <c r="S19" i="3"/>
  <c r="T19" i="3"/>
  <c r="V19" i="3"/>
  <c r="U19" i="3"/>
  <c r="P19" i="3"/>
  <c r="R19" i="3"/>
  <c r="Q19" i="3"/>
  <c r="M18" i="3"/>
  <c r="W18" i="3"/>
  <c r="X18" i="3"/>
  <c r="Y18" i="3"/>
  <c r="AA18" i="3"/>
  <c r="Z18" i="3"/>
  <c r="S18" i="3"/>
  <c r="T18" i="3"/>
  <c r="V18" i="3"/>
  <c r="U18" i="3"/>
  <c r="P18" i="3"/>
  <c r="R18" i="3"/>
  <c r="Q18" i="3"/>
  <c r="P17" i="3"/>
  <c r="R17" i="3"/>
  <c r="Q17" i="3"/>
  <c r="L11" i="3"/>
  <c r="M10" i="3"/>
  <c r="M5" i="3"/>
  <c r="W10" i="3"/>
  <c r="N5" i="3"/>
  <c r="O5" i="3"/>
  <c r="N10" i="3"/>
  <c r="O10" i="3"/>
  <c r="X10" i="3"/>
  <c r="AA10" i="3"/>
  <c r="Z10" i="3"/>
  <c r="Y10" i="3"/>
  <c r="S10" i="3"/>
  <c r="T10" i="3"/>
  <c r="V10" i="3"/>
  <c r="P10" i="3"/>
  <c r="R10" i="3"/>
  <c r="M9" i="3"/>
  <c r="N9" i="3"/>
  <c r="P9" i="3"/>
  <c r="Q10" i="3"/>
  <c r="W9" i="3"/>
  <c r="O9" i="3"/>
  <c r="X9" i="3"/>
  <c r="AA9" i="3"/>
  <c r="Z9" i="3"/>
  <c r="Y9" i="3"/>
  <c r="S9" i="3"/>
  <c r="T9" i="3"/>
  <c r="V9" i="3"/>
  <c r="R9" i="3"/>
  <c r="Q9" i="3"/>
  <c r="M8" i="3"/>
  <c r="W8" i="3"/>
  <c r="N8" i="3"/>
  <c r="O8" i="3"/>
  <c r="X8" i="3"/>
  <c r="AA8" i="3"/>
  <c r="Z8" i="3"/>
  <c r="Y8" i="3"/>
  <c r="S8" i="3"/>
  <c r="T8" i="3"/>
  <c r="V8" i="3"/>
  <c r="P8" i="3"/>
  <c r="R8" i="3"/>
  <c r="Q8" i="3"/>
  <c r="M7" i="3"/>
  <c r="W7" i="3"/>
  <c r="N7" i="3"/>
  <c r="O7" i="3"/>
  <c r="X7" i="3"/>
  <c r="AA7" i="3"/>
  <c r="Z7" i="3"/>
  <c r="Y7" i="3"/>
  <c r="S7" i="3"/>
  <c r="T7" i="3"/>
  <c r="V7" i="3"/>
  <c r="P7" i="3"/>
  <c r="R7" i="3"/>
  <c r="Q7" i="3"/>
  <c r="M6" i="3"/>
  <c r="W6" i="3"/>
  <c r="N6" i="3"/>
  <c r="O6" i="3"/>
  <c r="X6" i="3"/>
  <c r="AA6" i="3"/>
  <c r="Z6" i="3"/>
  <c r="Y6" i="3"/>
  <c r="S6" i="3"/>
  <c r="T6" i="3"/>
  <c r="V6" i="3"/>
  <c r="P6" i="3"/>
  <c r="R6" i="3"/>
  <c r="Q6" i="3"/>
  <c r="P5" i="3"/>
  <c r="R5" i="3"/>
  <c r="Q5" i="3"/>
  <c r="G13" i="3"/>
  <c r="F13" i="3"/>
  <c r="E13" i="3"/>
  <c r="D13" i="3"/>
  <c r="C46" i="2"/>
  <c r="C45" i="2"/>
  <c r="M46" i="2"/>
  <c r="I9" i="2"/>
  <c r="D45" i="2"/>
  <c r="E45" i="2"/>
  <c r="D46" i="2"/>
  <c r="E46" i="2"/>
  <c r="N46" i="2"/>
  <c r="O46" i="2"/>
  <c r="Q46" i="2"/>
  <c r="P46" i="2"/>
  <c r="I46" i="2"/>
  <c r="J46" i="2"/>
  <c r="K22" i="2"/>
  <c r="L46" i="2"/>
  <c r="K46" i="2"/>
  <c r="H46" i="2"/>
  <c r="G46" i="2"/>
  <c r="F46" i="2"/>
  <c r="C34" i="2"/>
  <c r="C33" i="2"/>
  <c r="M34" i="2"/>
  <c r="D33" i="2"/>
  <c r="E33" i="2"/>
  <c r="D34" i="2"/>
  <c r="E34" i="2"/>
  <c r="N34" i="2"/>
  <c r="O34" i="2"/>
  <c r="Q34" i="2"/>
  <c r="P34" i="2"/>
  <c r="I34" i="2"/>
  <c r="J34" i="2"/>
  <c r="L34" i="2"/>
  <c r="K34" i="2"/>
  <c r="F34" i="2"/>
  <c r="H34" i="2"/>
  <c r="G34" i="2"/>
  <c r="F33" i="2"/>
  <c r="H33" i="2"/>
  <c r="G33" i="2"/>
  <c r="C22" i="2"/>
  <c r="C21" i="2"/>
  <c r="M22" i="2"/>
  <c r="D21" i="2"/>
  <c r="E21" i="2"/>
  <c r="D22" i="2"/>
  <c r="E22" i="2"/>
  <c r="N22" i="2"/>
  <c r="Q22" i="2"/>
  <c r="P22" i="2"/>
  <c r="O22" i="2"/>
  <c r="I22" i="2"/>
  <c r="J22" i="2"/>
  <c r="L22" i="2"/>
  <c r="F22" i="2"/>
  <c r="H22" i="2"/>
  <c r="G22" i="2"/>
  <c r="C50" i="2"/>
  <c r="M50" i="2"/>
  <c r="D50" i="2"/>
  <c r="E50" i="2"/>
  <c r="N50" i="2"/>
  <c r="O50" i="2"/>
  <c r="Q50" i="2"/>
  <c r="C49" i="2"/>
  <c r="M49" i="2"/>
  <c r="D49" i="2"/>
  <c r="E49" i="2"/>
  <c r="N49" i="2"/>
  <c r="O49" i="2"/>
  <c r="Q49" i="2"/>
  <c r="C48" i="2"/>
  <c r="M48" i="2"/>
  <c r="D48" i="2"/>
  <c r="E48" i="2"/>
  <c r="N48" i="2"/>
  <c r="O48" i="2"/>
  <c r="Q48" i="2"/>
  <c r="C47" i="2"/>
  <c r="M47" i="2"/>
  <c r="D47" i="2"/>
  <c r="E47" i="2"/>
  <c r="N47" i="2"/>
  <c r="O47" i="2"/>
  <c r="Q47" i="2"/>
  <c r="P50" i="2"/>
  <c r="P49" i="2"/>
  <c r="P48" i="2"/>
  <c r="P47" i="2"/>
  <c r="I50" i="2"/>
  <c r="J50" i="2"/>
  <c r="K26" i="2"/>
  <c r="L50" i="2"/>
  <c r="I49" i="2"/>
  <c r="J49" i="2"/>
  <c r="K25" i="2"/>
  <c r="L49" i="2"/>
  <c r="I48" i="2"/>
  <c r="J48" i="2"/>
  <c r="K24" i="2"/>
  <c r="L48" i="2"/>
  <c r="I47" i="2"/>
  <c r="J47" i="2"/>
  <c r="K23" i="2"/>
  <c r="L47" i="2"/>
  <c r="K50" i="2"/>
  <c r="K49" i="2"/>
  <c r="K48" i="2"/>
  <c r="K47" i="2"/>
  <c r="H50" i="2"/>
  <c r="H49" i="2"/>
  <c r="H48" i="2"/>
  <c r="H47" i="2"/>
  <c r="G50" i="2"/>
  <c r="G49" i="2"/>
  <c r="G48" i="2"/>
  <c r="G47" i="2"/>
  <c r="F50" i="2"/>
  <c r="F49" i="2"/>
  <c r="F48" i="2"/>
  <c r="F47" i="2"/>
  <c r="H45" i="2"/>
  <c r="G45" i="2"/>
  <c r="F45" i="2"/>
  <c r="C38" i="2"/>
  <c r="D38" i="2"/>
  <c r="E38" i="2"/>
  <c r="N38" i="2"/>
  <c r="O38" i="2"/>
  <c r="M38" i="2"/>
  <c r="Q38" i="2"/>
  <c r="C37" i="2"/>
  <c r="D37" i="2"/>
  <c r="E37" i="2"/>
  <c r="N37" i="2"/>
  <c r="O37" i="2"/>
  <c r="M37" i="2"/>
  <c r="Q37" i="2"/>
  <c r="C36" i="2"/>
  <c r="D36" i="2"/>
  <c r="E36" i="2"/>
  <c r="N36" i="2"/>
  <c r="O36" i="2"/>
  <c r="M36" i="2"/>
  <c r="Q36" i="2"/>
  <c r="C35" i="2"/>
  <c r="D35" i="2"/>
  <c r="E35" i="2"/>
  <c r="N35" i="2"/>
  <c r="O35" i="2"/>
  <c r="M35" i="2"/>
  <c r="Q35" i="2"/>
  <c r="P38" i="2"/>
  <c r="P37" i="2"/>
  <c r="P36" i="2"/>
  <c r="P35" i="2"/>
  <c r="I38" i="2"/>
  <c r="J38" i="2"/>
  <c r="L38" i="2"/>
  <c r="I37" i="2"/>
  <c r="J37" i="2"/>
  <c r="L37" i="2"/>
  <c r="I36" i="2"/>
  <c r="J36" i="2"/>
  <c r="L36" i="2"/>
  <c r="I35" i="2"/>
  <c r="J35" i="2"/>
  <c r="L35" i="2"/>
  <c r="K38" i="2"/>
  <c r="K37" i="2"/>
  <c r="K36" i="2"/>
  <c r="K35" i="2"/>
  <c r="F38" i="2"/>
  <c r="H38" i="2"/>
  <c r="F37" i="2"/>
  <c r="H37" i="2"/>
  <c r="F36" i="2"/>
  <c r="H36" i="2"/>
  <c r="F35" i="2"/>
  <c r="H35" i="2"/>
  <c r="G38" i="2"/>
  <c r="G37" i="2"/>
  <c r="G36" i="2"/>
  <c r="G35" i="2"/>
  <c r="C26" i="2"/>
  <c r="D26" i="2"/>
  <c r="E26" i="2"/>
  <c r="N26" i="2"/>
  <c r="C25" i="2"/>
  <c r="D25" i="2"/>
  <c r="E25" i="2"/>
  <c r="N25" i="2"/>
  <c r="C24" i="2"/>
  <c r="D24" i="2"/>
  <c r="E24" i="2"/>
  <c r="N24" i="2"/>
  <c r="C23" i="2"/>
  <c r="D23" i="2"/>
  <c r="E23" i="2"/>
  <c r="N23" i="2"/>
  <c r="O26" i="2"/>
  <c r="O25" i="2"/>
  <c r="O24" i="2"/>
  <c r="O23" i="2"/>
  <c r="M26" i="2"/>
  <c r="Q26" i="2"/>
  <c r="M25" i="2"/>
  <c r="Q25" i="2"/>
  <c r="M24" i="2"/>
  <c r="Q24" i="2"/>
  <c r="P26" i="2"/>
  <c r="P25" i="2"/>
  <c r="P24" i="2"/>
  <c r="F26" i="2"/>
  <c r="H26" i="2"/>
  <c r="F25" i="2"/>
  <c r="H25" i="2"/>
  <c r="F24" i="2"/>
  <c r="H24" i="2"/>
  <c r="G26" i="2"/>
  <c r="G25" i="2"/>
  <c r="G24" i="2"/>
  <c r="I26" i="2"/>
  <c r="J26" i="2"/>
  <c r="L26" i="2"/>
  <c r="I25" i="2"/>
  <c r="J25" i="2"/>
  <c r="L25" i="2"/>
  <c r="I24" i="2"/>
  <c r="J24" i="2"/>
  <c r="L24" i="2"/>
  <c r="M23" i="2"/>
  <c r="F23" i="2"/>
  <c r="I23" i="2"/>
  <c r="J23" i="2"/>
  <c r="Q23" i="2"/>
  <c r="P23" i="2"/>
  <c r="H23" i="2"/>
  <c r="G23" i="2"/>
  <c r="L23" i="2"/>
  <c r="F21" i="2"/>
  <c r="H21" i="2"/>
  <c r="G21" i="2"/>
  <c r="F13" i="2"/>
  <c r="E13" i="2"/>
  <c r="D13" i="2"/>
  <c r="G13" i="2"/>
  <c r="B27" i="2"/>
</calcChain>
</file>

<file path=xl/sharedStrings.xml><?xml version="1.0" encoding="utf-8"?>
<sst xmlns="http://schemas.openxmlformats.org/spreadsheetml/2006/main" count="252" uniqueCount="75">
  <si>
    <t>signal/noise</t>
    <phoneticPr fontId="3" type="noConversion"/>
  </si>
  <si>
    <t>Campaign</t>
  </si>
  <si>
    <t>Visitors</t>
    <phoneticPr fontId="3" type="noConversion"/>
  </si>
  <si>
    <t>Conversions</t>
    <phoneticPr fontId="3" type="noConversion"/>
  </si>
  <si>
    <t>Conversion Rate</t>
    <phoneticPr fontId="3" type="noConversion"/>
  </si>
  <si>
    <t>Revenue Per Visitor</t>
    <phoneticPr fontId="3" type="noConversion"/>
  </si>
  <si>
    <t>Sales</t>
    <phoneticPr fontId="3" type="noConversion"/>
  </si>
  <si>
    <t>SE of difference</t>
    <phoneticPr fontId="3" type="noConversion"/>
  </si>
  <si>
    <t>Sum Rev Squared</t>
    <phoneticPr fontId="3" type="noConversion"/>
  </si>
  <si>
    <t>Recipes</t>
    <phoneticPr fontId="3" type="noConversion"/>
  </si>
  <si>
    <t>Conversion Rate Calculations</t>
    <phoneticPr fontId="3" type="noConversion"/>
  </si>
  <si>
    <t>Average Order Value Calculations</t>
  </si>
  <si>
    <t>Average Order Value</t>
  </si>
  <si>
    <t>Input Data from Target Campaign Report Here:</t>
  </si>
  <si>
    <t>Recipe D</t>
  </si>
  <si>
    <t>Recipe E</t>
  </si>
  <si>
    <t>Recipe F</t>
  </si>
  <si>
    <t>Significance level (default 95%)</t>
  </si>
  <si>
    <t>t value</t>
  </si>
  <si>
    <t>-</t>
  </si>
  <si>
    <t>Degrees of Freedom for Student's t-test</t>
  </si>
  <si>
    <t>Signal/Noise</t>
  </si>
  <si>
    <t>Std. Dev.</t>
  </si>
  <si>
    <t>Standard Error for Difference Distribution</t>
  </si>
  <si>
    <t>Recipe A</t>
  </si>
  <si>
    <t>Recipe B</t>
  </si>
  <si>
    <t>Recipe C</t>
  </si>
  <si>
    <t>Revenue Lift Variance</t>
  </si>
  <si>
    <t>Revenue Lift Confidence Range</t>
  </si>
  <si>
    <t>Revenue Confidence Range</t>
  </si>
  <si>
    <t>Conversion Rate Lift Variance</t>
  </si>
  <si>
    <t>Conversion Rate Lift Confidence Range</t>
  </si>
  <si>
    <t>Revenue Per Visitor Calculations</t>
  </si>
  <si>
    <t>Standard Error of the Conversion Rate</t>
  </si>
  <si>
    <t>Standard Error of the Revenue</t>
  </si>
  <si>
    <t>Direct processing of Adobe Target campaign data</t>
  </si>
  <si>
    <t>Std. Dev. Revenue Per Visitor</t>
  </si>
  <si>
    <t>AOV Confidence Range</t>
  </si>
  <si>
    <t>AOV CI Low</t>
  </si>
  <si>
    <t>AOV CI High</t>
  </si>
  <si>
    <t>Revenue CI Low</t>
  </si>
  <si>
    <t>Revenue CI High</t>
  </si>
  <si>
    <t>Conversion CI Rate Low</t>
  </si>
  <si>
    <t>Conversion CI Rate High</t>
  </si>
  <si>
    <t>Conversion Rate Lift CI Low</t>
  </si>
  <si>
    <t>Conversion Rate Lift CI High</t>
  </si>
  <si>
    <t>Revenue Lift CI Low</t>
  </si>
  <si>
    <t>Revenue Lift CI High</t>
  </si>
  <si>
    <t>Std. Dev. AOV</t>
  </si>
  <si>
    <t>Standard Error of AOV</t>
  </si>
  <si>
    <t>AOV Lift Variance</t>
  </si>
  <si>
    <t>AOV Lift Confidence Range</t>
  </si>
  <si>
    <t>AOV Lift CI Low</t>
  </si>
  <si>
    <t>AOV Lift CI High</t>
  </si>
  <si>
    <t>AOV Lift (Compared to control (Recipe A))</t>
  </si>
  <si>
    <t>Revenue Lift (Compared to control (Recipe A))</t>
  </si>
  <si>
    <t>Conversion Rate Lift (Compared to control (Recipe A))</t>
  </si>
  <si>
    <t>Conversion Rate Confidence Range</t>
  </si>
  <si>
    <t>Confidence level (default 95%)</t>
  </si>
  <si>
    <t>Conversion Rate CI Low</t>
  </si>
  <si>
    <t>Conversion Rate CI High</t>
  </si>
  <si>
    <t>Offer A</t>
  </si>
  <si>
    <t>Offer B</t>
  </si>
  <si>
    <t>Offer C</t>
  </si>
  <si>
    <t>Offer D</t>
  </si>
  <si>
    <t>Offer E</t>
  </si>
  <si>
    <t>Offers</t>
  </si>
  <si>
    <t>Offers:</t>
  </si>
  <si>
    <t>Confidence that Offer is different from Offer A</t>
  </si>
  <si>
    <t>Confidence that Offer is different from Offer A (Student's t-test)</t>
  </si>
  <si>
    <t>Conversion Rate Lift (Compared to control (Offer A))</t>
  </si>
  <si>
    <t>Visitors*</t>
  </si>
  <si>
    <t>Conversions*</t>
  </si>
  <si>
    <t>Sales**</t>
  </si>
  <si>
    <t>Sum Rev Squared**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</si>
</sst>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quot;$&quot;#,##0.00"/>
    <numFmt numFmtId="165" formatCode="_(* #,##0.00000000_);_(* \(#,##0.00000000\);_(* &quot;-&quot;??_);_(@_)"/>
    <numFmt numFmtId="166" formatCode="0.000"/>
    <numFmt numFmtId="167" formatCode="0.0000"/>
    <numFmt numFmtId="168" formatCode="_(* #,##0_);_(* \(#,##0\);_(* &quot;-&quot;??_);_(@_)"/>
    <numFmt numFmtId="169" formatCode="0.00000"/>
    <numFmt numFmtId="170" formatCode="0.0000%"/>
    <numFmt numFmtId="171" formatCode="0.0000000"/>
  </numFmts>
  <fonts count="15">
    <font>
      <sz val="10"/>
      <name val="Verdana"/>
    </font>
    <font>
      <sz val="10"/>
      <name val="Verdana"/>
    </font>
    <font>
      <sz val="10"/>
      <name val="Verdana"/>
    </font>
    <font>
      <sz val="8"/>
      <name val="Verdana"/>
    </font>
    <font>
      <u/>
      <sz val="10"/>
      <color theme="10"/>
      <name val="Verdana"/>
    </font>
    <font>
      <u/>
      <sz val="10"/>
      <color theme="11"/>
      <name val="Verdana"/>
    </font>
    <font>
      <sz val="10"/>
      <name val="Adobe Clean Light"/>
    </font>
    <font>
      <sz val="12"/>
      <name val="Adobe Clean Light"/>
    </font>
    <font>
      <sz val="24"/>
      <name val="Adobe Clean Light"/>
    </font>
    <font>
      <b/>
      <sz val="16"/>
      <name val="Adobe Clean Light"/>
    </font>
    <font>
      <sz val="12"/>
      <name val="Verdana"/>
    </font>
    <font>
      <sz val="28"/>
      <name val="Verdana"/>
    </font>
    <font>
      <sz val="16"/>
      <name val="Verdana"/>
    </font>
    <font>
      <sz val="13"/>
      <name val="Verdana"/>
    </font>
    <font>
      <sz val="24"/>
      <name val="Verdana"/>
    </font>
  </fonts>
  <fills count="8">
    <fill>
      <patternFill patternType="none"/>
    </fill>
    <fill>
      <patternFill patternType="gray125"/>
    </fill>
    <fill>
      <patternFill patternType="solid">
        <fgColor theme="3"/>
        <bgColor indexed="64"/>
      </patternFill>
    </fill>
    <fill>
      <patternFill patternType="solid">
        <fgColor theme="3"/>
        <bgColor indexed="8"/>
      </patternFill>
    </fill>
    <fill>
      <patternFill patternType="solid">
        <fgColor theme="9" tint="-0.249977111117893"/>
        <bgColor indexed="64"/>
      </patternFill>
    </fill>
    <fill>
      <patternFill patternType="solid">
        <fgColor theme="3" tint="-0.14999847407452621"/>
        <bgColor indexed="64"/>
      </patternFill>
    </fill>
    <fill>
      <patternFill patternType="solid">
        <fgColor theme="3" tint="-4.9989318521683403E-2"/>
        <bgColor indexed="64"/>
      </patternFill>
    </fill>
    <fill>
      <patternFill patternType="solid">
        <fgColor theme="3" tint="-4.9989318521683403E-2"/>
        <bgColor rgb="FF000000"/>
      </patternFill>
    </fill>
  </fills>
  <borders count="4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25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2">
    <xf numFmtId="0" fontId="0" fillId="0" borderId="0" xfId="0"/>
    <xf numFmtId="0" fontId="0" fillId="0" borderId="0" xfId="0" applyBorder="1"/>
    <xf numFmtId="0" fontId="0" fillId="2" borderId="0" xfId="0" applyFill="1" applyBorder="1"/>
    <xf numFmtId="0" fontId="0" fillId="2" borderId="2" xfId="0" applyFill="1" applyBorder="1"/>
    <xf numFmtId="0" fontId="2" fillId="2" borderId="1" xfId="0" applyFont="1" applyFill="1" applyBorder="1"/>
    <xf numFmtId="0" fontId="2" fillId="2" borderId="8" xfId="0" applyFont="1" applyFill="1" applyBorder="1"/>
    <xf numFmtId="0" fontId="0" fillId="2" borderId="8" xfId="0" applyFill="1" applyBorder="1"/>
    <xf numFmtId="0" fontId="6" fillId="2" borderId="0" xfId="0" applyFont="1" applyFill="1" applyBorder="1"/>
    <xf numFmtId="0" fontId="7" fillId="2" borderId="0" xfId="0" applyFont="1" applyFill="1" applyBorder="1"/>
    <xf numFmtId="0" fontId="8" fillId="2" borderId="0" xfId="0" applyFont="1" applyFill="1" applyBorder="1"/>
    <xf numFmtId="0" fontId="10" fillId="2" borderId="0" xfId="0" applyFont="1" applyFill="1" applyBorder="1"/>
    <xf numFmtId="0" fontId="9" fillId="2" borderId="0" xfId="0" applyFont="1" applyFill="1" applyBorder="1" applyAlignment="1"/>
    <xf numFmtId="2" fontId="7" fillId="2" borderId="0" xfId="0" applyNumberFormat="1" applyFont="1" applyFill="1" applyBorder="1"/>
    <xf numFmtId="0" fontId="7" fillId="2" borderId="0" xfId="0" applyFont="1" applyFill="1" applyBorder="1" applyAlignment="1"/>
    <xf numFmtId="0" fontId="7" fillId="2" borderId="6" xfId="0" applyFont="1" applyFill="1" applyBorder="1" applyAlignment="1">
      <alignment horizontal="center"/>
    </xf>
    <xf numFmtId="164" fontId="0" fillId="2" borderId="0" xfId="0" applyNumberFormat="1" applyFill="1" applyBorder="1"/>
    <xf numFmtId="0" fontId="0" fillId="2" borderId="0" xfId="0" applyFill="1"/>
    <xf numFmtId="0" fontId="7" fillId="2" borderId="0" xfId="0" applyFont="1" applyFill="1" applyBorder="1" applyAlignment="1">
      <alignment horizontal="center"/>
    </xf>
    <xf numFmtId="3" fontId="0" fillId="2" borderId="0" xfId="0" applyNumberFormat="1" applyFill="1" applyBorder="1"/>
    <xf numFmtId="0" fontId="11" fillId="2" borderId="0" xfId="0" applyFont="1" applyFill="1" applyBorder="1"/>
    <xf numFmtId="0" fontId="13" fillId="2" borderId="1" xfId="0" applyFont="1" applyFill="1" applyBorder="1" applyAlignment="1">
      <alignment horizontal="center"/>
    </xf>
    <xf numFmtId="0" fontId="13" fillId="2" borderId="2" xfId="0" applyFont="1" applyFill="1" applyBorder="1" applyAlignment="1">
      <alignment horizontal="center"/>
    </xf>
    <xf numFmtId="0" fontId="13" fillId="2" borderId="3" xfId="0" applyFont="1" applyFill="1" applyBorder="1" applyAlignment="1">
      <alignment horizontal="center"/>
    </xf>
    <xf numFmtId="0" fontId="10" fillId="2" borderId="19" xfId="0" applyFont="1" applyFill="1" applyBorder="1"/>
    <xf numFmtId="3" fontId="10" fillId="4" borderId="15" xfId="0" applyNumberFormat="1" applyFont="1" applyFill="1" applyBorder="1"/>
    <xf numFmtId="168" fontId="10" fillId="4" borderId="15" xfId="41" applyNumberFormat="1" applyFont="1" applyFill="1" applyBorder="1"/>
    <xf numFmtId="164" fontId="10" fillId="4" borderId="15" xfId="0" applyNumberFormat="1" applyFont="1" applyFill="1" applyBorder="1"/>
    <xf numFmtId="164" fontId="10" fillId="4" borderId="20" xfId="0" quotePrefix="1" applyNumberFormat="1" applyFont="1" applyFill="1" applyBorder="1"/>
    <xf numFmtId="164" fontId="10" fillId="4" borderId="20" xfId="0" applyNumberFormat="1" applyFont="1" applyFill="1" applyBorder="1"/>
    <xf numFmtId="3" fontId="10" fillId="4" borderId="15" xfId="0" quotePrefix="1" applyNumberFormat="1" applyFont="1" applyFill="1" applyBorder="1"/>
    <xf numFmtId="168" fontId="10" fillId="4" borderId="15" xfId="41" quotePrefix="1" applyNumberFormat="1" applyFont="1" applyFill="1" applyBorder="1"/>
    <xf numFmtId="164" fontId="10" fillId="4" borderId="15" xfId="0" quotePrefix="1" applyNumberFormat="1" applyFont="1" applyFill="1" applyBorder="1"/>
    <xf numFmtId="0" fontId="10" fillId="2" borderId="24" xfId="0" applyFont="1" applyFill="1" applyBorder="1"/>
    <xf numFmtId="3" fontId="10" fillId="4" borderId="25" xfId="0" quotePrefix="1" applyNumberFormat="1" applyFont="1" applyFill="1" applyBorder="1"/>
    <xf numFmtId="168" fontId="10" fillId="4" borderId="25" xfId="41" quotePrefix="1" applyNumberFormat="1" applyFont="1" applyFill="1" applyBorder="1"/>
    <xf numFmtId="164" fontId="10" fillId="4" borderId="25" xfId="0" quotePrefix="1" applyNumberFormat="1" applyFont="1" applyFill="1" applyBorder="1"/>
    <xf numFmtId="164" fontId="10" fillId="4" borderId="26" xfId="0" applyNumberFormat="1" applyFont="1" applyFill="1" applyBorder="1"/>
    <xf numFmtId="0" fontId="10" fillId="2" borderId="12" xfId="0" applyFont="1" applyFill="1" applyBorder="1"/>
    <xf numFmtId="168" fontId="10" fillId="2" borderId="27" xfId="41" applyNumberFormat="1" applyFont="1" applyFill="1" applyBorder="1"/>
    <xf numFmtId="164" fontId="10" fillId="2" borderId="27" xfId="0" applyNumberFormat="1" applyFont="1" applyFill="1" applyBorder="1"/>
    <xf numFmtId="164" fontId="10" fillId="2" borderId="28" xfId="0" applyNumberFormat="1" applyFont="1" applyFill="1" applyBorder="1"/>
    <xf numFmtId="0" fontId="12" fillId="2" borderId="0" xfId="0" applyFont="1" applyFill="1" applyBorder="1" applyAlignment="1"/>
    <xf numFmtId="0" fontId="10" fillId="2" borderId="14"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9"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27" xfId="0" applyFont="1" applyFill="1" applyBorder="1" applyAlignment="1">
      <alignment horizontal="center" vertical="center"/>
    </xf>
    <xf numFmtId="0" fontId="10" fillId="6" borderId="27" xfId="0" applyFont="1" applyFill="1" applyBorder="1" applyAlignment="1">
      <alignment horizontal="center" vertical="center" wrapText="1"/>
    </xf>
    <xf numFmtId="166" fontId="10" fillId="5" borderId="36" xfId="0" quotePrefix="1" applyNumberFormat="1" applyFont="1" applyFill="1" applyBorder="1" applyAlignment="1">
      <alignment horizontal="right"/>
    </xf>
    <xf numFmtId="0" fontId="10" fillId="5" borderId="37" xfId="0" quotePrefix="1" applyFont="1" applyFill="1" applyBorder="1" applyAlignment="1">
      <alignment horizontal="right"/>
    </xf>
    <xf numFmtId="170" fontId="10" fillId="5" borderId="38" xfId="0" applyNumberFormat="1" applyFont="1" applyFill="1" applyBorder="1"/>
    <xf numFmtId="10" fontId="10" fillId="5" borderId="36" xfId="0" applyNumberFormat="1" applyFont="1" applyFill="1" applyBorder="1"/>
    <xf numFmtId="10" fontId="10" fillId="5" borderId="39" xfId="0" applyNumberFormat="1" applyFont="1" applyFill="1" applyBorder="1"/>
    <xf numFmtId="169" fontId="10" fillId="6" borderId="38" xfId="0" quotePrefix="1" applyNumberFormat="1" applyFont="1" applyFill="1" applyBorder="1" applyAlignment="1">
      <alignment horizontal="right"/>
    </xf>
    <xf numFmtId="2" fontId="10" fillId="6" borderId="36" xfId="0" quotePrefix="1" applyNumberFormat="1" applyFont="1" applyFill="1" applyBorder="1" applyAlignment="1">
      <alignment horizontal="right"/>
    </xf>
    <xf numFmtId="168" fontId="10" fillId="6" borderId="36" xfId="41" quotePrefix="1" applyNumberFormat="1" applyFont="1" applyFill="1" applyBorder="1" applyAlignment="1">
      <alignment horizontal="right"/>
    </xf>
    <xf numFmtId="0" fontId="0" fillId="5" borderId="36" xfId="0" applyFont="1" applyFill="1" applyBorder="1" applyAlignment="1">
      <alignment horizontal="right"/>
    </xf>
    <xf numFmtId="0" fontId="10" fillId="5" borderId="36" xfId="0" quotePrefix="1" applyFont="1" applyFill="1" applyBorder="1" applyAlignment="1">
      <alignment horizontal="right"/>
    </xf>
    <xf numFmtId="0" fontId="10" fillId="5" borderId="39" xfId="0" quotePrefix="1" applyFont="1" applyFill="1" applyBorder="1" applyAlignment="1">
      <alignment horizontal="right"/>
    </xf>
    <xf numFmtId="166" fontId="10" fillId="5" borderId="15" xfId="0" quotePrefix="1" applyNumberFormat="1" applyFont="1" applyFill="1" applyBorder="1" applyAlignment="1">
      <alignment horizontal="right"/>
    </xf>
    <xf numFmtId="171" fontId="10" fillId="5" borderId="37" xfId="0" quotePrefix="1" applyNumberFormat="1" applyFont="1" applyFill="1" applyBorder="1" applyAlignment="1">
      <alignment horizontal="right"/>
    </xf>
    <xf numFmtId="170" fontId="10" fillId="5" borderId="19" xfId="0" applyNumberFormat="1" applyFont="1" applyFill="1" applyBorder="1"/>
    <xf numFmtId="10" fontId="10" fillId="5" borderId="15" xfId="0" applyNumberFormat="1" applyFont="1" applyFill="1" applyBorder="1"/>
    <xf numFmtId="10" fontId="10" fillId="5" borderId="20" xfId="0" applyNumberFormat="1" applyFont="1" applyFill="1" applyBorder="1"/>
    <xf numFmtId="171" fontId="10" fillId="6" borderId="19" xfId="0" quotePrefix="1" applyNumberFormat="1" applyFont="1" applyFill="1" applyBorder="1" applyAlignment="1">
      <alignment horizontal="right"/>
    </xf>
    <xf numFmtId="2" fontId="10" fillId="6" borderId="15" xfId="0" quotePrefix="1" applyNumberFormat="1" applyFont="1" applyFill="1" applyBorder="1" applyAlignment="1">
      <alignment horizontal="right"/>
    </xf>
    <xf numFmtId="168" fontId="10" fillId="6" borderId="15" xfId="41" quotePrefix="1" applyNumberFormat="1" applyFont="1" applyFill="1" applyBorder="1" applyAlignment="1">
      <alignment horizontal="right"/>
    </xf>
    <xf numFmtId="167" fontId="10" fillId="5" borderId="15" xfId="42" applyNumberFormat="1" applyFont="1" applyFill="1" applyBorder="1"/>
    <xf numFmtId="10" fontId="10" fillId="5" borderId="15" xfId="42" applyNumberFormat="1" applyFont="1" applyFill="1" applyBorder="1"/>
    <xf numFmtId="10" fontId="10" fillId="5" borderId="20" xfId="42" applyNumberFormat="1" applyFont="1" applyFill="1" applyBorder="1"/>
    <xf numFmtId="170" fontId="10" fillId="5" borderId="19" xfId="0" applyNumberFormat="1" applyFont="1" applyFill="1" applyBorder="1" applyAlignment="1">
      <alignment horizontal="right"/>
    </xf>
    <xf numFmtId="10" fontId="10" fillId="5" borderId="15" xfId="0" applyNumberFormat="1" applyFont="1" applyFill="1" applyBorder="1" applyAlignment="1">
      <alignment horizontal="right"/>
    </xf>
    <xf numFmtId="10" fontId="10" fillId="5" borderId="20" xfId="0" applyNumberFormat="1" applyFont="1" applyFill="1" applyBorder="1" applyAlignment="1">
      <alignment horizontal="right"/>
    </xf>
    <xf numFmtId="167" fontId="10" fillId="5" borderId="15" xfId="0" applyNumberFormat="1" applyFont="1" applyFill="1" applyBorder="1" applyAlignment="1">
      <alignment horizontal="right"/>
    </xf>
    <xf numFmtId="10" fontId="10" fillId="5" borderId="15" xfId="42" applyNumberFormat="1" applyFont="1" applyFill="1" applyBorder="1" applyAlignment="1">
      <alignment horizontal="right"/>
    </xf>
    <xf numFmtId="10" fontId="10" fillId="5" borderId="20" xfId="42" applyNumberFormat="1" applyFont="1" applyFill="1" applyBorder="1" applyAlignment="1">
      <alignment horizontal="right"/>
    </xf>
    <xf numFmtId="0" fontId="10" fillId="2" borderId="33" xfId="0" applyFont="1" applyFill="1" applyBorder="1"/>
    <xf numFmtId="10" fontId="10" fillId="5" borderId="19" xfId="0" applyNumberFormat="1" applyFont="1" applyFill="1" applyBorder="1" applyAlignment="1">
      <alignment horizontal="right"/>
    </xf>
    <xf numFmtId="169" fontId="10" fillId="6" borderId="19" xfId="0" quotePrefix="1" applyNumberFormat="1" applyFont="1" applyFill="1" applyBorder="1" applyAlignment="1">
      <alignment horizontal="right"/>
    </xf>
    <xf numFmtId="166" fontId="10" fillId="5" borderId="25" xfId="0" quotePrefix="1" applyNumberFormat="1" applyFont="1" applyFill="1" applyBorder="1" applyAlignment="1">
      <alignment horizontal="right"/>
    </xf>
    <xf numFmtId="10" fontId="10" fillId="5" borderId="21" xfId="0" applyNumberFormat="1" applyFont="1" applyFill="1" applyBorder="1" applyAlignment="1">
      <alignment horizontal="right"/>
    </xf>
    <xf numFmtId="10" fontId="10" fillId="5" borderId="22" xfId="0" applyNumberFormat="1" applyFont="1" applyFill="1" applyBorder="1" applyAlignment="1">
      <alignment horizontal="right"/>
    </xf>
    <xf numFmtId="10" fontId="10" fillId="5" borderId="23" xfId="0" applyNumberFormat="1" applyFont="1" applyFill="1" applyBorder="1" applyAlignment="1">
      <alignment horizontal="right"/>
    </xf>
    <xf numFmtId="169" fontId="10" fillId="6" borderId="21" xfId="0" quotePrefix="1" applyNumberFormat="1" applyFont="1" applyFill="1" applyBorder="1" applyAlignment="1">
      <alignment horizontal="right"/>
    </xf>
    <xf numFmtId="2" fontId="10" fillId="6" borderId="22" xfId="0" quotePrefix="1" applyNumberFormat="1" applyFont="1" applyFill="1" applyBorder="1" applyAlignment="1">
      <alignment horizontal="right"/>
    </xf>
    <xf numFmtId="168" fontId="10" fillId="6" borderId="22" xfId="41" quotePrefix="1" applyNumberFormat="1" applyFont="1" applyFill="1" applyBorder="1" applyAlignment="1">
      <alignment horizontal="right"/>
    </xf>
    <xf numFmtId="167" fontId="10" fillId="5" borderId="11" xfId="0" applyNumberFormat="1" applyFont="1" applyFill="1" applyBorder="1" applyAlignment="1">
      <alignment horizontal="right"/>
    </xf>
    <xf numFmtId="10" fontId="10" fillId="5" borderId="22" xfId="42" applyNumberFormat="1" applyFont="1" applyFill="1" applyBorder="1" applyAlignment="1">
      <alignment horizontal="right"/>
    </xf>
    <xf numFmtId="10" fontId="10" fillId="5" borderId="30" xfId="42" applyNumberFormat="1" applyFont="1" applyFill="1" applyBorder="1" applyAlignment="1">
      <alignment horizontal="right"/>
    </xf>
    <xf numFmtId="10" fontId="10" fillId="2" borderId="14" xfId="0" applyNumberFormat="1" applyFont="1" applyFill="1" applyBorder="1"/>
    <xf numFmtId="0" fontId="10" fillId="5" borderId="27" xfId="0" applyFont="1" applyFill="1" applyBorder="1"/>
    <xf numFmtId="0" fontId="10" fillId="5" borderId="29" xfId="0" applyFont="1" applyFill="1" applyBorder="1"/>
    <xf numFmtId="0" fontId="10" fillId="5" borderId="12" xfId="0" applyFont="1" applyFill="1" applyBorder="1"/>
    <xf numFmtId="0" fontId="10" fillId="5" borderId="28" xfId="0" applyFont="1" applyFill="1" applyBorder="1"/>
    <xf numFmtId="0" fontId="10" fillId="6" borderId="13" xfId="0" applyFont="1" applyFill="1" applyBorder="1"/>
    <xf numFmtId="0" fontId="10" fillId="6" borderId="27" xfId="0" applyFont="1" applyFill="1" applyBorder="1"/>
    <xf numFmtId="0" fontId="0" fillId="5" borderId="5" xfId="0" applyFont="1" applyFill="1" applyBorder="1"/>
    <xf numFmtId="167" fontId="10" fillId="5" borderId="27" xfId="0" applyNumberFormat="1" applyFont="1" applyFill="1" applyBorder="1"/>
    <xf numFmtId="10" fontId="10" fillId="5" borderId="28" xfId="0" applyNumberFormat="1" applyFont="1" applyFill="1" applyBorder="1"/>
    <xf numFmtId="0" fontId="0" fillId="0" borderId="0" xfId="0" applyFont="1" applyBorder="1"/>
    <xf numFmtId="165" fontId="10" fillId="2" borderId="0" xfId="0" applyNumberFormat="1" applyFont="1" applyFill="1" applyBorder="1"/>
    <xf numFmtId="10" fontId="10" fillId="2" borderId="0" xfId="42" applyNumberFormat="1" applyFont="1" applyFill="1" applyBorder="1"/>
    <xf numFmtId="10" fontId="10" fillId="2" borderId="0" xfId="0" applyNumberFormat="1" applyFont="1" applyFill="1" applyBorder="1"/>
    <xf numFmtId="0" fontId="0" fillId="2" borderId="0" xfId="0" applyFont="1" applyFill="1" applyBorder="1"/>
    <xf numFmtId="0" fontId="0" fillId="2" borderId="0" xfId="0" applyFont="1" applyFill="1" applyBorder="1" applyAlignment="1"/>
    <xf numFmtId="0" fontId="0" fillId="2" borderId="0" xfId="0" applyFont="1" applyFill="1" applyBorder="1" applyAlignment="1">
      <alignment horizontal="center"/>
    </xf>
    <xf numFmtId="0" fontId="10" fillId="2" borderId="14" xfId="0" applyFont="1" applyFill="1" applyBorder="1" applyAlignment="1">
      <alignment horizontal="center" vertical="center" wrapText="1"/>
    </xf>
    <xf numFmtId="0" fontId="10" fillId="7" borderId="27" xfId="0" applyFont="1" applyFill="1" applyBorder="1" applyAlignment="1">
      <alignment horizontal="center" vertical="center" wrapText="1"/>
    </xf>
    <xf numFmtId="164" fontId="10" fillId="5" borderId="36" xfId="0" quotePrefix="1" applyNumberFormat="1" applyFont="1" applyFill="1" applyBorder="1" applyAlignment="1">
      <alignment horizontal="right"/>
    </xf>
    <xf numFmtId="167" fontId="10" fillId="5" borderId="39" xfId="0" quotePrefix="1" applyNumberFormat="1" applyFont="1" applyFill="1" applyBorder="1" applyAlignment="1">
      <alignment horizontal="right"/>
    </xf>
    <xf numFmtId="2" fontId="10" fillId="5" borderId="19" xfId="0" applyNumberFormat="1" applyFont="1" applyFill="1" applyBorder="1"/>
    <xf numFmtId="164" fontId="10" fillId="5" borderId="15" xfId="0" applyNumberFormat="1" applyFont="1" applyFill="1" applyBorder="1"/>
    <xf numFmtId="164" fontId="10" fillId="5" borderId="20" xfId="0" applyNumberFormat="1" applyFont="1" applyFill="1" applyBorder="1"/>
    <xf numFmtId="2" fontId="10" fillId="6" borderId="38" xfId="0" quotePrefix="1" applyNumberFormat="1" applyFont="1" applyFill="1" applyBorder="1" applyAlignment="1">
      <alignment horizontal="right"/>
    </xf>
    <xf numFmtId="10" fontId="10" fillId="7" borderId="36" xfId="0" applyNumberFormat="1" applyFont="1" applyFill="1" applyBorder="1" applyAlignment="1">
      <alignment horizontal="right"/>
    </xf>
    <xf numFmtId="164" fontId="10" fillId="5" borderId="15" xfId="0" quotePrefix="1" applyNumberFormat="1" applyFont="1" applyFill="1" applyBorder="1" applyAlignment="1">
      <alignment horizontal="right"/>
    </xf>
    <xf numFmtId="167" fontId="10" fillId="5" borderId="20" xfId="0" quotePrefix="1" applyNumberFormat="1" applyFont="1" applyFill="1" applyBorder="1" applyAlignment="1">
      <alignment horizontal="right"/>
    </xf>
    <xf numFmtId="167" fontId="10" fillId="6" borderId="19" xfId="0" quotePrefix="1" applyNumberFormat="1" applyFont="1" applyFill="1" applyBorder="1" applyAlignment="1">
      <alignment horizontal="right"/>
    </xf>
    <xf numFmtId="168" fontId="10" fillId="7" borderId="36" xfId="41" applyNumberFormat="1" applyFont="1" applyFill="1" applyBorder="1"/>
    <xf numFmtId="2" fontId="10" fillId="5" borderId="19" xfId="0" applyNumberFormat="1" applyFont="1" applyFill="1" applyBorder="1" applyAlignment="1">
      <alignment horizontal="right"/>
    </xf>
    <xf numFmtId="164" fontId="10" fillId="5" borderId="15" xfId="0" applyNumberFormat="1" applyFont="1" applyFill="1" applyBorder="1" applyAlignment="1">
      <alignment horizontal="right"/>
    </xf>
    <xf numFmtId="164" fontId="10" fillId="5" borderId="20" xfId="0" applyNumberFormat="1" applyFont="1" applyFill="1" applyBorder="1" applyAlignment="1">
      <alignment horizontal="right"/>
    </xf>
    <xf numFmtId="168" fontId="10" fillId="7" borderId="36" xfId="41" applyNumberFormat="1" applyFont="1" applyFill="1" applyBorder="1" applyAlignment="1">
      <alignment horizontal="right"/>
    </xf>
    <xf numFmtId="0" fontId="10" fillId="2" borderId="34" xfId="0" applyFont="1" applyFill="1" applyBorder="1"/>
    <xf numFmtId="0" fontId="10" fillId="2" borderId="14" xfId="0" applyNumberFormat="1" applyFont="1" applyFill="1" applyBorder="1"/>
    <xf numFmtId="2" fontId="10" fillId="5" borderId="27" xfId="0" applyNumberFormat="1" applyFont="1" applyFill="1" applyBorder="1"/>
    <xf numFmtId="0" fontId="10" fillId="6" borderId="12" xfId="0" applyFont="1" applyFill="1" applyBorder="1"/>
    <xf numFmtId="0" fontId="10" fillId="7" borderId="27" xfId="0" applyFont="1" applyFill="1" applyBorder="1"/>
    <xf numFmtId="2" fontId="0" fillId="2" borderId="0" xfId="0" applyNumberFormat="1" applyFont="1" applyFill="1" applyBorder="1"/>
    <xf numFmtId="0" fontId="10" fillId="2" borderId="4" xfId="0" applyFont="1" applyFill="1" applyBorder="1" applyAlignment="1">
      <alignment horizontal="center" vertical="center"/>
    </xf>
    <xf numFmtId="10" fontId="10" fillId="2" borderId="40" xfId="0" applyNumberFormat="1" applyFont="1" applyFill="1" applyBorder="1"/>
    <xf numFmtId="164" fontId="10" fillId="5" borderId="39" xfId="0" applyNumberFormat="1" applyFont="1" applyFill="1" applyBorder="1" applyAlignment="1">
      <alignment horizontal="right"/>
    </xf>
    <xf numFmtId="164" fontId="10" fillId="5" borderId="36" xfId="0" applyNumberFormat="1" applyFont="1" applyFill="1" applyBorder="1"/>
    <xf numFmtId="164" fontId="10" fillId="5" borderId="39" xfId="0" applyNumberFormat="1" applyFont="1" applyFill="1" applyBorder="1"/>
    <xf numFmtId="0" fontId="10" fillId="5" borderId="17" xfId="0" applyFont="1" applyFill="1" applyBorder="1" applyAlignment="1">
      <alignment horizontal="right"/>
    </xf>
    <xf numFmtId="0" fontId="10" fillId="5" borderId="17" xfId="0" quotePrefix="1" applyFont="1" applyFill="1" applyBorder="1" applyAlignment="1">
      <alignment horizontal="right"/>
    </xf>
    <xf numFmtId="0" fontId="10" fillId="5" borderId="18" xfId="0" quotePrefix="1" applyFont="1" applyFill="1" applyBorder="1" applyAlignment="1">
      <alignment horizontal="right"/>
    </xf>
    <xf numFmtId="10" fontId="10" fillId="2" borderId="41" xfId="0" applyNumberFormat="1" applyFont="1" applyFill="1" applyBorder="1"/>
    <xf numFmtId="2" fontId="10" fillId="6" borderId="19" xfId="0" quotePrefix="1" applyNumberFormat="1" applyFont="1" applyFill="1" applyBorder="1" applyAlignment="1">
      <alignment horizontal="right"/>
    </xf>
    <xf numFmtId="0" fontId="10" fillId="2" borderId="41" xfId="0" applyFont="1" applyFill="1" applyBorder="1"/>
    <xf numFmtId="164" fontId="10" fillId="5" borderId="36" xfId="0" applyNumberFormat="1" applyFont="1" applyFill="1" applyBorder="1" applyAlignment="1">
      <alignment horizontal="right"/>
    </xf>
    <xf numFmtId="0" fontId="10" fillId="2" borderId="42" xfId="0" applyFont="1" applyFill="1" applyBorder="1"/>
    <xf numFmtId="0" fontId="10" fillId="2" borderId="4" xfId="0" applyNumberFormat="1" applyFont="1" applyFill="1" applyBorder="1"/>
    <xf numFmtId="0" fontId="10" fillId="5" borderId="13" xfId="0" applyFont="1" applyFill="1" applyBorder="1" applyAlignment="1">
      <alignment horizontal="center" vertical="center"/>
    </xf>
    <xf numFmtId="0" fontId="10" fillId="6" borderId="28" xfId="0" applyFont="1" applyFill="1" applyBorder="1" applyAlignment="1">
      <alignment horizontal="center" vertical="center" wrapText="1"/>
    </xf>
    <xf numFmtId="10" fontId="10" fillId="5" borderId="35" xfId="42" quotePrefix="1" applyNumberFormat="1" applyFont="1" applyFill="1" applyBorder="1" applyAlignment="1">
      <alignment horizontal="right"/>
    </xf>
    <xf numFmtId="0" fontId="10" fillId="6" borderId="39" xfId="0" quotePrefix="1" applyFont="1" applyFill="1" applyBorder="1" applyAlignment="1">
      <alignment horizontal="right"/>
    </xf>
    <xf numFmtId="0" fontId="10" fillId="5" borderId="38" xfId="0" quotePrefix="1" applyFont="1" applyFill="1" applyBorder="1" applyAlignment="1">
      <alignment horizontal="right"/>
    </xf>
    <xf numFmtId="10" fontId="10" fillId="5" borderId="31" xfId="42" quotePrefix="1" applyNumberFormat="1" applyFont="1" applyFill="1" applyBorder="1" applyAlignment="1">
      <alignment horizontal="right"/>
    </xf>
    <xf numFmtId="10" fontId="10" fillId="6" borderId="20" xfId="0" applyNumberFormat="1" applyFont="1" applyFill="1" applyBorder="1"/>
    <xf numFmtId="10" fontId="10" fillId="5" borderId="19" xfId="0" applyNumberFormat="1" applyFont="1" applyFill="1" applyBorder="1"/>
    <xf numFmtId="10" fontId="10" fillId="6" borderId="20" xfId="0" applyNumberFormat="1" applyFont="1" applyFill="1" applyBorder="1" applyAlignment="1">
      <alignment horizontal="right"/>
    </xf>
    <xf numFmtId="10" fontId="10" fillId="5" borderId="32" xfId="42" quotePrefix="1" applyNumberFormat="1" applyFont="1" applyFill="1" applyBorder="1" applyAlignment="1">
      <alignment horizontal="right"/>
    </xf>
    <xf numFmtId="10" fontId="10" fillId="6" borderId="23" xfId="0" applyNumberFormat="1" applyFont="1" applyFill="1" applyBorder="1" applyAlignment="1">
      <alignment horizontal="right"/>
    </xf>
    <xf numFmtId="0" fontId="10" fillId="5" borderId="13" xfId="0" applyFont="1" applyFill="1" applyBorder="1"/>
    <xf numFmtId="0" fontId="10" fillId="6" borderId="29" xfId="0" applyFont="1" applyFill="1" applyBorder="1"/>
    <xf numFmtId="164" fontId="10" fillId="5" borderId="38" xfId="0" quotePrefix="1" applyNumberFormat="1" applyFont="1" applyFill="1" applyBorder="1" applyAlignment="1">
      <alignment horizontal="right"/>
    </xf>
    <xf numFmtId="10" fontId="10" fillId="6" borderId="39" xfId="0" quotePrefix="1" applyNumberFormat="1" applyFont="1" applyFill="1" applyBorder="1" applyAlignment="1">
      <alignment horizontal="right"/>
    </xf>
    <xf numFmtId="164" fontId="10" fillId="5" borderId="19" xfId="0" quotePrefix="1" applyNumberFormat="1" applyFont="1" applyFill="1" applyBorder="1" applyAlignment="1">
      <alignment horizontal="right"/>
    </xf>
    <xf numFmtId="0" fontId="10" fillId="6" borderId="28" xfId="0" applyFont="1" applyFill="1" applyBorder="1"/>
    <xf numFmtId="0" fontId="12" fillId="2" borderId="0" xfId="0" applyFont="1" applyFill="1" applyBorder="1" applyAlignment="1">
      <alignment horizontal="left"/>
    </xf>
    <xf numFmtId="0" fontId="10" fillId="5" borderId="13" xfId="0" applyFont="1" applyFill="1" applyBorder="1" applyAlignment="1">
      <alignment horizontal="center" vertical="center" wrapText="1"/>
    </xf>
    <xf numFmtId="0" fontId="10" fillId="6" borderId="39" xfId="0" applyFont="1" applyFill="1" applyBorder="1" applyAlignment="1">
      <alignment horizontal="right"/>
    </xf>
    <xf numFmtId="0" fontId="10" fillId="5" borderId="16" xfId="0" applyFont="1" applyFill="1" applyBorder="1" applyAlignment="1">
      <alignment horizontal="right"/>
    </xf>
    <xf numFmtId="10" fontId="10" fillId="5" borderId="19" xfId="42" applyNumberFormat="1" applyFont="1" applyFill="1" applyBorder="1"/>
    <xf numFmtId="10" fontId="10" fillId="5" borderId="19" xfId="42" applyNumberFormat="1" applyFont="1" applyFill="1" applyBorder="1" applyAlignment="1">
      <alignment horizontal="right"/>
    </xf>
    <xf numFmtId="0" fontId="0" fillId="2" borderId="1" xfId="0" applyFont="1" applyFill="1" applyBorder="1"/>
    <xf numFmtId="0" fontId="0" fillId="2" borderId="2" xfId="0" applyFont="1" applyFill="1" applyBorder="1"/>
    <xf numFmtId="0" fontId="0" fillId="2" borderId="3" xfId="0" applyFont="1" applyFill="1" applyBorder="1"/>
    <xf numFmtId="0" fontId="0" fillId="0" borderId="0" xfId="0" applyFont="1"/>
    <xf numFmtId="0" fontId="0" fillId="2" borderId="8" xfId="0" applyFont="1" applyFill="1" applyBorder="1"/>
    <xf numFmtId="0" fontId="14" fillId="2" borderId="0" xfId="0" applyFont="1" applyFill="1" applyBorder="1"/>
    <xf numFmtId="0" fontId="0" fillId="2" borderId="9" xfId="0" applyFont="1" applyFill="1" applyBorder="1"/>
    <xf numFmtId="2" fontId="10" fillId="2" borderId="0" xfId="42" applyNumberFormat="1" applyFont="1" applyFill="1" applyBorder="1"/>
    <xf numFmtId="0" fontId="0" fillId="2" borderId="0" xfId="0" applyFont="1" applyFill="1"/>
    <xf numFmtId="2" fontId="10" fillId="2" borderId="0" xfId="0" applyNumberFormat="1" applyFont="1" applyFill="1" applyBorder="1"/>
    <xf numFmtId="3" fontId="0" fillId="2" borderId="0" xfId="0" applyNumberFormat="1" applyFont="1" applyFill="1" applyBorder="1"/>
    <xf numFmtId="164" fontId="0" fillId="2" borderId="0" xfId="0" applyNumberFormat="1" applyFont="1" applyFill="1" applyBorder="1"/>
    <xf numFmtId="0" fontId="10" fillId="2" borderId="0" xfId="0" applyFont="1" applyFill="1" applyBorder="1" applyAlignment="1"/>
    <xf numFmtId="0" fontId="10" fillId="2" borderId="0" xfId="0" applyFont="1" applyFill="1" applyBorder="1" applyAlignment="1">
      <alignment horizontal="centerContinuous"/>
    </xf>
    <xf numFmtId="0" fontId="10" fillId="6" borderId="29" xfId="0" applyFont="1" applyFill="1" applyBorder="1" applyAlignment="1">
      <alignment horizontal="center" vertical="center" wrapText="1"/>
    </xf>
    <xf numFmtId="166" fontId="10" fillId="6" borderId="36" xfId="0" quotePrefix="1" applyNumberFormat="1" applyFont="1" applyFill="1" applyBorder="1" applyAlignment="1">
      <alignment horizontal="right"/>
    </xf>
    <xf numFmtId="0" fontId="10" fillId="6" borderId="37" xfId="0" quotePrefix="1" applyFont="1" applyFill="1" applyBorder="1" applyAlignment="1">
      <alignment horizontal="right"/>
    </xf>
    <xf numFmtId="166" fontId="10" fillId="6" borderId="15" xfId="0" quotePrefix="1" applyNumberFormat="1" applyFont="1" applyFill="1" applyBorder="1" applyAlignment="1">
      <alignment horizontal="right"/>
    </xf>
    <xf numFmtId="171" fontId="10" fillId="6" borderId="37" xfId="0" quotePrefix="1" applyNumberFormat="1" applyFont="1" applyFill="1" applyBorder="1" applyAlignment="1">
      <alignment horizontal="right"/>
    </xf>
    <xf numFmtId="166" fontId="10" fillId="6" borderId="25" xfId="0" quotePrefix="1" applyNumberFormat="1" applyFont="1" applyFill="1" applyBorder="1" applyAlignment="1">
      <alignment horizontal="right"/>
    </xf>
    <xf numFmtId="0" fontId="0" fillId="2" borderId="0" xfId="0" applyFont="1" applyFill="1" applyBorder="1" applyAlignment="1">
      <alignment horizontal="centerContinuous"/>
    </xf>
    <xf numFmtId="164" fontId="10" fillId="6" borderId="36" xfId="0" quotePrefix="1" applyNumberFormat="1" applyFont="1" applyFill="1" applyBorder="1" applyAlignment="1">
      <alignment horizontal="right"/>
    </xf>
    <xf numFmtId="167" fontId="10" fillId="6" borderId="39" xfId="0" quotePrefix="1" applyNumberFormat="1" applyFont="1" applyFill="1" applyBorder="1" applyAlignment="1">
      <alignment horizontal="right"/>
    </xf>
    <xf numFmtId="164" fontId="10" fillId="6" borderId="15" xfId="0" quotePrefix="1" applyNumberFormat="1" applyFont="1" applyFill="1" applyBorder="1" applyAlignment="1">
      <alignment horizontal="right"/>
    </xf>
    <xf numFmtId="167" fontId="10" fillId="6" borderId="20" xfId="0" quotePrefix="1" applyNumberFormat="1" applyFont="1" applyFill="1" applyBorder="1" applyAlignment="1">
      <alignment horizontal="right"/>
    </xf>
    <xf numFmtId="164" fontId="10" fillId="6" borderId="39" xfId="0" applyNumberFormat="1" applyFont="1" applyFill="1" applyBorder="1" applyAlignment="1">
      <alignment horizontal="right"/>
    </xf>
    <xf numFmtId="164" fontId="10" fillId="6" borderId="20" xfId="0" applyNumberFormat="1" applyFont="1" applyFill="1" applyBorder="1" applyAlignment="1">
      <alignment horizontal="right"/>
    </xf>
    <xf numFmtId="0" fontId="0" fillId="2" borderId="10" xfId="0" applyFont="1" applyFill="1" applyBorder="1"/>
    <xf numFmtId="0" fontId="0" fillId="2" borderId="6" xfId="0" applyFont="1" applyFill="1" applyBorder="1"/>
    <xf numFmtId="0" fontId="0" fillId="2" borderId="7" xfId="0" applyFont="1" applyFill="1" applyBorder="1"/>
    <xf numFmtId="0" fontId="10" fillId="6" borderId="13" xfId="0" applyFont="1" applyFill="1" applyBorder="1" applyAlignment="1">
      <alignment horizontal="center" vertical="center"/>
    </xf>
    <xf numFmtId="10" fontId="10" fillId="6" borderId="35" xfId="42" quotePrefix="1" applyNumberFormat="1" applyFont="1" applyFill="1" applyBorder="1" applyAlignment="1">
      <alignment horizontal="right"/>
    </xf>
    <xf numFmtId="10" fontId="10" fillId="6" borderId="31" xfId="42" quotePrefix="1" applyNumberFormat="1" applyFont="1" applyFill="1" applyBorder="1" applyAlignment="1">
      <alignment horizontal="right"/>
    </xf>
    <xf numFmtId="10" fontId="10" fillId="6" borderId="32" xfId="42" quotePrefix="1" applyNumberFormat="1" applyFont="1" applyFill="1" applyBorder="1" applyAlignment="1">
      <alignment horizontal="right"/>
    </xf>
    <xf numFmtId="164" fontId="10" fillId="6" borderId="38" xfId="0" quotePrefix="1" applyNumberFormat="1" applyFont="1" applyFill="1" applyBorder="1" applyAlignment="1">
      <alignment horizontal="right"/>
    </xf>
    <xf numFmtId="164" fontId="10" fillId="6" borderId="19" xfId="0" quotePrefix="1" applyNumberFormat="1" applyFont="1" applyFill="1" applyBorder="1" applyAlignment="1">
      <alignment horizontal="right"/>
    </xf>
    <xf numFmtId="0" fontId="12" fillId="3" borderId="0" xfId="0" applyFont="1" applyFill="1" applyBorder="1" applyAlignment="1"/>
    <xf numFmtId="0" fontId="12" fillId="2" borderId="0" xfId="0" applyFont="1" applyFill="1" applyBorder="1" applyAlignment="1"/>
    <xf numFmtId="0" fontId="10" fillId="2" borderId="0" xfId="0" applyFont="1" applyFill="1" applyBorder="1" applyAlignment="1">
      <alignment horizontal="center"/>
    </xf>
    <xf numFmtId="9" fontId="12" fillId="4" borderId="0" xfId="0" applyNumberFormat="1" applyFont="1" applyFill="1" applyBorder="1" applyAlignment="1">
      <alignment horizontal="center"/>
    </xf>
    <xf numFmtId="2" fontId="12" fillId="2" borderId="0" xfId="0" applyNumberFormat="1" applyFont="1" applyFill="1" applyBorder="1" applyAlignment="1">
      <alignment horizontal="center"/>
    </xf>
    <xf numFmtId="0" fontId="12" fillId="2" borderId="0" xfId="0" applyFont="1" applyFill="1" applyBorder="1" applyAlignment="1">
      <alignment horizontal="left"/>
    </xf>
    <xf numFmtId="0" fontId="10" fillId="2" borderId="6" xfId="0" applyFont="1" applyFill="1" applyBorder="1" applyAlignment="1">
      <alignment horizontal="center"/>
    </xf>
  </cellXfs>
  <cellStyles count="259">
    <cellStyle name="Comma" xfId="41"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Normal" xfId="0" builtinId="0"/>
    <cellStyle name="Percent" xfId="4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292101</xdr:colOff>
      <xdr:row>1</xdr:row>
      <xdr:rowOff>89175</xdr:rowOff>
    </xdr:from>
    <xdr:to>
      <xdr:col>1</xdr:col>
      <xdr:colOff>1451229</xdr:colOff>
      <xdr:row>6</xdr:row>
      <xdr:rowOff>59267</xdr:rowOff>
    </xdr:to>
    <xdr:pic>
      <xdr:nvPicPr>
        <xdr:cNvPr id="2" name="Picture 1" descr="Adobe_standard_logo_CMYK.eps"/>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1" y="254275"/>
          <a:ext cx="1502028" cy="2057125"/>
        </a:xfrm>
        <a:prstGeom prst="rect">
          <a:avLst/>
        </a:prstGeom>
      </xdr:spPr>
    </xdr:pic>
    <xdr:clientData/>
  </xdr:twoCellAnchor>
  <xdr:twoCellAnchor>
    <xdr:from>
      <xdr:col>1</xdr:col>
      <xdr:colOff>1727200</xdr:colOff>
      <xdr:row>15</xdr:row>
      <xdr:rowOff>338667</xdr:rowOff>
    </xdr:from>
    <xdr:to>
      <xdr:col>7</xdr:col>
      <xdr:colOff>0</xdr:colOff>
      <xdr:row>36</xdr:row>
      <xdr:rowOff>16934</xdr:rowOff>
    </xdr:to>
    <xdr:sp macro="" textlink="">
      <xdr:nvSpPr>
        <xdr:cNvPr id="3" name="TextBox 2"/>
        <xdr:cNvSpPr txBox="1"/>
      </xdr:nvSpPr>
      <xdr:spPr>
        <a:xfrm>
          <a:off x="2065867" y="4504267"/>
          <a:ext cx="7044266" cy="5537200"/>
        </a:xfrm>
        <a:prstGeom prst="rect">
          <a:avLst/>
        </a:prstGeom>
        <a:no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*Number</a:t>
          </a:r>
          <a:r>
            <a:rPr lang="en-US" sz="1600" baseline="0"/>
            <a:t> of visitors for each offer and associated conversions are required to do conversion rate calculations.</a:t>
          </a:r>
        </a:p>
        <a:p>
          <a:endParaRPr lang="en-US" sz="1600" baseline="0"/>
        </a:p>
        <a:p>
          <a:r>
            <a:rPr lang="en-US" sz="1600" baseline="0"/>
            <a:t>**In addition, Sales and the Sum of Revenue Squared from the CSV download is required to do RPV and AOV calculations.</a:t>
          </a:r>
        </a:p>
        <a:p>
          <a:endParaRPr lang="en-US" sz="1600" baseline="0"/>
        </a:p>
        <a:p>
          <a:r>
            <a:rPr lang="en-US" sz="1600"/>
            <a:t>This spreadsheet reproduces the hypothesis test calculations in Adobe Target after the conclusion</a:t>
          </a:r>
          <a:r>
            <a:rPr lang="en-US" sz="1600" baseline="0"/>
            <a:t> of a test</a:t>
          </a:r>
          <a:r>
            <a:rPr lang="en-US" sz="1600"/>
            <a:t>. The user is required to populate the visitor and conversion</a:t>
          </a:r>
          <a:r>
            <a:rPr lang="en-US" sz="1600" baseline="0"/>
            <a:t> columns above. The output is the conversion rate with associated confidence intervals and the lift with associated confidence intervals. </a:t>
          </a:r>
        </a:p>
        <a:p>
          <a:endParaRPr lang="en-US" sz="1600" baseline="0"/>
        </a:p>
        <a:p>
          <a:r>
            <a:rPr lang="en-US" sz="1600" baseline="0"/>
            <a:t>If the number reported in the </a:t>
          </a:r>
          <a:r>
            <a:rPr lang="en-US" sz="1600" i="1" baseline="0"/>
            <a:t>Confidence that the Offer is different from Offer A</a:t>
          </a:r>
          <a:r>
            <a:rPr lang="en-US" sz="1600" i="0" baseline="0"/>
            <a:t> column is larger than the confidence level (default 95%) the result of the test is that there </a:t>
          </a:r>
          <a:r>
            <a:rPr lang="en-US" sz="1600" i="1" baseline="0"/>
            <a:t>is</a:t>
          </a:r>
          <a:r>
            <a:rPr lang="en-US" sz="1600" i="0" baseline="0"/>
            <a:t> a statistically significant difference in conversion rate between the offers.</a:t>
          </a:r>
        </a:p>
        <a:p>
          <a:endParaRPr lang="en-US" sz="1600" i="0" baseline="0"/>
        </a:p>
        <a:p>
          <a:r>
            <a:rPr lang="en-US" sz="1600"/>
            <a:t>It is highly recommended that one calculates</a:t>
          </a:r>
          <a:r>
            <a:rPr lang="en-US" sz="1600" baseline="0"/>
            <a:t> the required sample size </a:t>
          </a:r>
          <a:r>
            <a:rPr lang="en-US" sz="1600" i="1" baseline="0"/>
            <a:t>before</a:t>
          </a:r>
          <a:r>
            <a:rPr lang="en-US" sz="1600" i="0" baseline="0"/>
            <a:t> a test is initiated, as failing to do so may result in unreliable confidence intervals and test results. Please refer to the spreadsheet "Sample Size Calculator" and the document "Sample Size Calculation for </a:t>
          </a:r>
        </a:p>
        <a:p>
          <a:r>
            <a:rPr lang="en-US" sz="1600" i="0" baseline="0"/>
            <a:t>A/B testing" for information about how to calculate sample size.</a:t>
          </a:r>
          <a:endParaRPr 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292101</xdr:colOff>
      <xdr:row>1</xdr:row>
      <xdr:rowOff>89175</xdr:rowOff>
    </xdr:from>
    <xdr:to>
      <xdr:col>1</xdr:col>
      <xdr:colOff>1451229</xdr:colOff>
      <xdr:row>9</xdr:row>
      <xdr:rowOff>143934</xdr:rowOff>
    </xdr:to>
    <xdr:pic>
      <xdr:nvPicPr>
        <xdr:cNvPr id="3" name="Picture 2" descr="Adobe_standard_logo_CMYK.eps"/>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1" y="254275"/>
          <a:ext cx="1502028" cy="2057125"/>
        </a:xfrm>
        <a:prstGeom prst="rect">
          <a:avLst/>
        </a:prstGeom>
      </xdr:spPr>
    </xdr:pic>
    <xdr:clientData/>
  </xdr:twoCellAnchor>
</xdr:wsDr>
</file>

<file path=xl/theme/theme1.xml><?xml version="1.0" encoding="utf-8"?>
<a:theme xmlns:a="http://schemas.openxmlformats.org/drawingml/2006/main" name="Office Theme">
  <a:themeElements>
    <a:clrScheme name="Custom 2">
      <a:dk1>
        <a:srgbClr val="000000"/>
      </a:dk1>
      <a:lt1>
        <a:srgbClr val="D8DADA"/>
      </a:lt1>
      <a:dk2>
        <a:srgbClr val="FFFFFF"/>
      </a:dk2>
      <a:lt2>
        <a:srgbClr val="6B6B6B"/>
      </a:lt2>
      <a:accent1>
        <a:srgbClr val="A5DF6A"/>
      </a:accent1>
      <a:accent2>
        <a:srgbClr val="669300"/>
      </a:accent2>
      <a:accent3>
        <a:srgbClr val="E9EAEA"/>
      </a:accent3>
      <a:accent4>
        <a:srgbClr val="000000"/>
      </a:accent4>
      <a:accent5>
        <a:srgbClr val="ECAAAC"/>
      </a:accent5>
      <a:accent6>
        <a:srgbClr val="81D6CF"/>
      </a:accent6>
      <a:hlink>
        <a:srgbClr val="135A9A"/>
      </a:hlink>
      <a:folHlink>
        <a:srgbClr val="711C8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8"/>
  <sheetViews>
    <sheetView tabSelected="1" zoomScale="75" zoomScaleNormal="75" zoomScalePageLayoutView="75" workbookViewId="0">
      <selection activeCell="J24" sqref="J24"/>
    </sheetView>
  </sheetViews>
  <sheetFormatPr defaultColWidth="11" defaultRowHeight="12.75"/>
  <cols>
    <col min="1" max="1" width="3.875" customWidth="1"/>
    <col min="2" max="2" width="19.875" customWidth="1"/>
    <col min="3" max="3" width="17.125" customWidth="1"/>
    <col min="5" max="5" width="15.125" customWidth="1"/>
    <col min="6" max="6" width="16" bestFit="1" customWidth="1"/>
    <col min="7" max="7" width="19.75" customWidth="1"/>
    <col min="8" max="8" width="7.125" customWidth="1"/>
    <col min="9" max="9" width="16.25" customWidth="1"/>
    <col min="10" max="10" width="16.875" customWidth="1"/>
    <col min="11" max="11" width="6.375" customWidth="1"/>
    <col min="12" max="12" width="19.625" customWidth="1"/>
    <col min="13" max="13" width="15.375" bestFit="1" customWidth="1"/>
    <col min="14" max="15" width="14.375" hidden="1" customWidth="1"/>
    <col min="16" max="16" width="15" hidden="1" customWidth="1"/>
    <col min="17" max="17" width="15" customWidth="1"/>
    <col min="18" max="18" width="15.25" customWidth="1"/>
    <col min="19" max="21" width="0" hidden="1" customWidth="1"/>
    <col min="22" max="22" width="14.125" customWidth="1"/>
    <col min="23" max="23" width="15.25" customWidth="1"/>
    <col min="24" max="25" width="0" hidden="1" customWidth="1"/>
    <col min="26" max="26" width="11.25" customWidth="1"/>
  </cols>
  <sheetData>
    <row r="1" spans="1:37">
      <c r="A1" s="4"/>
      <c r="B1" s="3"/>
      <c r="C1" s="3"/>
      <c r="D1" s="3"/>
      <c r="E1" s="3"/>
      <c r="F1" s="3"/>
      <c r="G1" s="3"/>
      <c r="H1" s="3"/>
      <c r="I1" s="3"/>
      <c r="J1" s="3"/>
      <c r="K1" s="3"/>
      <c r="L1" s="3"/>
      <c r="M1" s="3"/>
      <c r="N1" s="3"/>
      <c r="O1" s="3"/>
      <c r="P1" s="3"/>
      <c r="Q1" s="3"/>
      <c r="R1" s="2"/>
      <c r="S1" s="1"/>
      <c r="T1" s="1"/>
      <c r="U1" s="1"/>
      <c r="V1" s="1"/>
      <c r="AB1" s="16"/>
      <c r="AC1" s="16"/>
      <c r="AD1" s="16"/>
      <c r="AE1" s="16"/>
      <c r="AF1" s="16"/>
      <c r="AG1" s="16"/>
      <c r="AH1" s="16"/>
      <c r="AI1" s="16"/>
      <c r="AJ1" s="16"/>
      <c r="AK1" s="16"/>
    </row>
    <row r="2" spans="1:37" ht="35.25">
      <c r="A2" s="5"/>
      <c r="B2" s="1"/>
      <c r="C2" s="19" t="s">
        <v>35</v>
      </c>
      <c r="D2" s="9"/>
      <c r="E2" s="9"/>
      <c r="F2" s="2"/>
      <c r="G2" s="2"/>
      <c r="H2" s="2"/>
      <c r="I2" s="2"/>
      <c r="J2" s="2"/>
      <c r="K2" s="2"/>
      <c r="L2" s="41" t="s">
        <v>10</v>
      </c>
      <c r="M2" s="11"/>
      <c r="N2" s="11"/>
      <c r="O2" s="11"/>
      <c r="P2" s="11"/>
      <c r="Q2" s="11"/>
      <c r="R2" s="11"/>
      <c r="S2" s="2"/>
      <c r="T2" s="11"/>
      <c r="U2" s="11"/>
      <c r="V2" s="11"/>
      <c r="W2" s="11"/>
      <c r="X2" s="11"/>
      <c r="Y2" s="11"/>
      <c r="Z2" s="11"/>
      <c r="AA2" s="11"/>
      <c r="AB2" s="16"/>
      <c r="AC2" s="16"/>
      <c r="AD2" s="16"/>
      <c r="AE2" s="16"/>
      <c r="AF2" s="16"/>
      <c r="AG2" s="16"/>
      <c r="AH2" s="16"/>
      <c r="AI2" s="16"/>
      <c r="AJ2" s="16"/>
      <c r="AK2" s="16"/>
    </row>
    <row r="3" spans="1:37" ht="6.95" customHeight="1" thickBot="1">
      <c r="A3" s="5"/>
      <c r="B3" s="2"/>
      <c r="C3" s="2"/>
      <c r="D3" s="2"/>
      <c r="E3" s="2"/>
      <c r="F3" s="2"/>
      <c r="G3" s="2"/>
      <c r="H3" s="2"/>
      <c r="I3" s="2"/>
      <c r="J3" s="2"/>
      <c r="K3" s="2"/>
      <c r="L3" s="13"/>
      <c r="M3" s="13"/>
      <c r="N3" s="13"/>
      <c r="O3" s="13"/>
      <c r="Q3" s="14"/>
      <c r="R3" s="14"/>
      <c r="S3" s="8"/>
      <c r="T3" s="17"/>
      <c r="U3" s="17"/>
      <c r="V3" s="8"/>
      <c r="W3" s="8"/>
      <c r="X3" s="8"/>
      <c r="Z3" s="14"/>
      <c r="AA3" s="14"/>
      <c r="AB3" s="16"/>
      <c r="AC3" s="16"/>
      <c r="AD3" s="16"/>
      <c r="AE3" s="16"/>
      <c r="AF3" s="16"/>
      <c r="AG3" s="16"/>
      <c r="AH3" s="16"/>
      <c r="AI3" s="16"/>
      <c r="AJ3" s="16"/>
      <c r="AK3" s="16"/>
    </row>
    <row r="4" spans="1:37" ht="90.75" thickBot="1">
      <c r="A4" s="5"/>
      <c r="B4" s="2"/>
      <c r="C4" s="205" t="s">
        <v>13</v>
      </c>
      <c r="D4" s="206"/>
      <c r="E4" s="206"/>
      <c r="F4" s="206"/>
      <c r="G4" s="206"/>
      <c r="H4" s="2"/>
      <c r="I4" s="2"/>
      <c r="J4" s="2"/>
      <c r="K4" s="2"/>
      <c r="L4" s="42" t="s">
        <v>66</v>
      </c>
      <c r="M4" s="146" t="s">
        <v>4</v>
      </c>
      <c r="N4" s="43" t="s">
        <v>22</v>
      </c>
      <c r="O4" s="44" t="s">
        <v>33</v>
      </c>
      <c r="P4" s="45" t="s">
        <v>57</v>
      </c>
      <c r="Q4" s="46" t="s">
        <v>59</v>
      </c>
      <c r="R4" s="47" t="s">
        <v>60</v>
      </c>
      <c r="S4" s="48" t="s">
        <v>23</v>
      </c>
      <c r="T4" s="49" t="s">
        <v>21</v>
      </c>
      <c r="U4" s="50" t="s">
        <v>20</v>
      </c>
      <c r="V4" s="147" t="s">
        <v>68</v>
      </c>
      <c r="W4" s="45" t="s">
        <v>56</v>
      </c>
      <c r="X4" s="46" t="s">
        <v>30</v>
      </c>
      <c r="Y4" s="46" t="s">
        <v>31</v>
      </c>
      <c r="Z4" s="46" t="s">
        <v>44</v>
      </c>
      <c r="AA4" s="47" t="s">
        <v>45</v>
      </c>
      <c r="AB4" s="16"/>
      <c r="AC4" s="16"/>
      <c r="AD4" s="16"/>
      <c r="AE4" s="16"/>
      <c r="AF4" s="16"/>
      <c r="AG4" s="16"/>
      <c r="AH4" s="16"/>
      <c r="AI4" s="16"/>
      <c r="AJ4" s="16"/>
      <c r="AK4" s="16"/>
    </row>
    <row r="5" spans="1:37" ht="15.75" thickBot="1">
      <c r="A5" s="5"/>
      <c r="B5" s="2"/>
      <c r="C5" s="7"/>
      <c r="D5" s="7"/>
      <c r="E5" s="7"/>
      <c r="F5" s="7"/>
      <c r="G5" s="7"/>
      <c r="H5" s="2"/>
      <c r="I5" s="2"/>
      <c r="J5" s="2"/>
      <c r="K5" s="2"/>
      <c r="L5" s="79" t="s">
        <v>61</v>
      </c>
      <c r="M5" s="148">
        <f>convA/visitorsA</f>
        <v>4.2109051646571895E-2</v>
      </c>
      <c r="N5" s="51">
        <f>SQRT(CR_A*(1-CR_A))</f>
        <v>0.20083794316811313</v>
      </c>
      <c r="O5" s="52">
        <f>IF(ISERROR(stdevA/SQRT(visitorsA)),"-",stdevA/SQRT(visitorsA))</f>
        <v>5.7439972882378449E-4</v>
      </c>
      <c r="P5" s="53">
        <f>t_value*(stdevA/SQRT(visitorsA))</f>
        <v>1.125802781224191E-3</v>
      </c>
      <c r="Q5" s="54">
        <f>CR_A-CI_A</f>
        <v>4.0983248865347703E-2</v>
      </c>
      <c r="R5" s="55">
        <f>CR_A+CI_A</f>
        <v>4.3234854427796086E-2</v>
      </c>
      <c r="S5" s="56" t="s">
        <v>19</v>
      </c>
      <c r="T5" s="57" t="s">
        <v>19</v>
      </c>
      <c r="U5" s="58" t="s">
        <v>19</v>
      </c>
      <c r="V5" s="149" t="s">
        <v>19</v>
      </c>
      <c r="W5" s="150" t="s">
        <v>19</v>
      </c>
      <c r="X5" s="59" t="s">
        <v>19</v>
      </c>
      <c r="Y5" s="59" t="s">
        <v>19</v>
      </c>
      <c r="Z5" s="60" t="s">
        <v>19</v>
      </c>
      <c r="AA5" s="61" t="s">
        <v>19</v>
      </c>
      <c r="AB5" s="16"/>
      <c r="AC5" s="16"/>
      <c r="AD5" s="16"/>
      <c r="AE5" s="16"/>
      <c r="AF5" s="16"/>
      <c r="AG5" s="16"/>
      <c r="AH5" s="16"/>
      <c r="AI5" s="16"/>
      <c r="AJ5" s="16"/>
      <c r="AK5" s="16"/>
    </row>
    <row r="6" spans="1:37" ht="15.75">
      <c r="A6" s="6"/>
      <c r="B6" s="2"/>
      <c r="C6" s="20" t="s">
        <v>67</v>
      </c>
      <c r="D6" s="21" t="s">
        <v>71</v>
      </c>
      <c r="E6" s="21" t="s">
        <v>72</v>
      </c>
      <c r="F6" s="21" t="s">
        <v>73</v>
      </c>
      <c r="G6" s="22" t="s">
        <v>74</v>
      </c>
      <c r="H6" s="2"/>
      <c r="I6" s="207" t="s">
        <v>58</v>
      </c>
      <c r="J6" s="207"/>
      <c r="K6" s="2"/>
      <c r="L6" s="79" t="s">
        <v>62</v>
      </c>
      <c r="M6" s="151">
        <f>convB/visitorsB</f>
        <v>4.1048713648819991E-2</v>
      </c>
      <c r="N6" s="62">
        <f>SQRT(CR_B*(1-CR_B))</f>
        <v>0.1984029151917813</v>
      </c>
      <c r="O6" s="63">
        <f>stdevB/SQRT(visitorsB)</f>
        <v>5.6745639754236668E-4</v>
      </c>
      <c r="P6" s="64">
        <f>t_value*(stdevB/SQRT(visitorsB))</f>
        <v>1.1121941019798817E-3</v>
      </c>
      <c r="Q6" s="65">
        <f>CR_B-CI_B</f>
        <v>3.9936519546840112E-2</v>
      </c>
      <c r="R6" s="66">
        <f>CR_B+CI_B</f>
        <v>4.2160907750799871E-2</v>
      </c>
      <c r="S6" s="67">
        <f>SQRT(stdevB^2/visitorsB+stdevA^2/visitorsA)</f>
        <v>8.0742913719074924E-4</v>
      </c>
      <c r="T6" s="68">
        <f>(CR_B-CR_A)/SE_BminusA</f>
        <v>-1.3132273148342011</v>
      </c>
      <c r="U6" s="69">
        <f>visitorsA+visitorsB-2</f>
        <v>244497</v>
      </c>
      <c r="V6" s="152">
        <f>1-_xlfn.T.DIST.2T(ABS(SignalNoiseB),DOF_B)</f>
        <v>0.81089240514747751</v>
      </c>
      <c r="W6" s="153">
        <f>(CR_B-CR_A)/CR_A</f>
        <v>-2.5180761767125328E-2</v>
      </c>
      <c r="X6" s="70">
        <f>((CR_B/CR_A)^2)*((SE_A_Squared^2)/(CR_A^2)+(SE_B_Squared^2)/(CR_B^2))</f>
        <v>3.584169496262256E-4</v>
      </c>
      <c r="Y6" s="71">
        <f>t_value*SQRT(Lift_Var_B)</f>
        <v>3.7105847957268755E-2</v>
      </c>
      <c r="Z6" s="71">
        <f>LiftB-t_value*SQRT(Lift_Var_B)</f>
        <v>-6.2286609724394079E-2</v>
      </c>
      <c r="AA6" s="72">
        <f>LiftB+t_value*SQRT(Lift_Var_B)</f>
        <v>1.1925086190143427E-2</v>
      </c>
      <c r="AB6" s="16"/>
      <c r="AC6" s="16"/>
      <c r="AD6" s="16"/>
      <c r="AE6" s="16"/>
      <c r="AF6" s="16"/>
      <c r="AG6" s="16"/>
      <c r="AH6" s="16"/>
      <c r="AI6" s="16"/>
      <c r="AJ6" s="16"/>
      <c r="AK6" s="16"/>
    </row>
    <row r="7" spans="1:37" ht="19.5">
      <c r="A7" s="6"/>
      <c r="B7" s="2"/>
      <c r="C7" s="23" t="s">
        <v>61</v>
      </c>
      <c r="D7" s="24">
        <v>122254</v>
      </c>
      <c r="E7" s="25">
        <v>5148</v>
      </c>
      <c r="F7" s="26">
        <v>4782871.07</v>
      </c>
      <c r="G7" s="27">
        <v>6988731689.3000002</v>
      </c>
      <c r="H7" s="2"/>
      <c r="I7" s="208">
        <v>0.95</v>
      </c>
      <c r="J7" s="208"/>
      <c r="K7" s="2"/>
      <c r="L7" s="79" t="s">
        <v>63</v>
      </c>
      <c r="M7" s="151">
        <f>IF(ISERROR(convC/visitorsC),"-",convC/visitorsC)</f>
        <v>4.3599826679856436E-2</v>
      </c>
      <c r="N7" s="62">
        <f>IF(ISERROR(SQRT(CR_C*(1-CR_C))),"-",SQRT(CR_C*(1-CR_C)))</f>
        <v>0.20420304060748684</v>
      </c>
      <c r="O7" s="63">
        <f>IF(ISERROR(stdevC/SQRT(visitorsC)),"-",stdevC/SQRT(visitorsC))</f>
        <v>5.838735396637185E-4</v>
      </c>
      <c r="P7" s="73">
        <f>IF(ISERROR(t_value*(stdevC/SQRT(visitorsC))),"-",t_value*(stdevC/SQRT(visitorsC)))</f>
        <v>1.1443711092668067E-3</v>
      </c>
      <c r="Q7" s="74">
        <f>IF(ISERROR(CR_C-CI_C),"-",CR_C-CI_C)</f>
        <v>4.2455455570589627E-2</v>
      </c>
      <c r="R7" s="75">
        <f>IF(ISERROR(CR_C+CI_C),"-",CR_C+CI_C)</f>
        <v>4.4744197789123245E-2</v>
      </c>
      <c r="S7" s="67">
        <f>IF(ISERROR(SQRT(stdevC^2/visitorsC+stdevA^2/visitorsA)),"-",SQRT(stdevC^2/visitorsC+stdevA^2/visitorsA))</f>
        <v>8.1905027854966086E-4</v>
      </c>
      <c r="T7" s="68">
        <f>IF(ISERROR((CR_C-CR_A)/SE_CminusA),"-",(CR_C-CR_A)/SE_CminusA)</f>
        <v>1.8201263980086082</v>
      </c>
      <c r="U7" s="69">
        <f>IF(ISERROR(visitorsA+visitorsC-2),"-",visitorsA+visitorsC-2)</f>
        <v>244569</v>
      </c>
      <c r="V7" s="154">
        <f>IF(ISERROR(1-_xlfn.T.DIST.2T(ABS(SignalNoiseC),DOF_C)),"-",1-_xlfn.T.DIST.2T(ABS(SignalNoiseC),DOF_C))</f>
        <v>0.93125901990277626</v>
      </c>
      <c r="W7" s="80">
        <f>IF(ISERROR((CR_C-CR_A)/CR_A),"-",(CR_C-CR_A)/CR_A)</f>
        <v>3.5402721623770068E-2</v>
      </c>
      <c r="X7" s="76">
        <f>IF(ISERROR(((CR_C/CR_A)^2)*((SE_A_Squared^2)/(CR_A^2)+(SE_C_Squared^2)/(CR_C^2))),"-",((CR_C/CR_A)^2)*((SE_A_Squared^2)/(CR_A^2)+(SE_C_Squared^2)/(CR_C^2)))</f>
        <v>3.9173751378954392E-4</v>
      </c>
      <c r="Y7" s="77">
        <f>IF(ISERROR(t_value*SQRT(Lift_Var_C)),"-",t_value*SQRT(Lift_Var_C))</f>
        <v>3.8792312740330778E-2</v>
      </c>
      <c r="Z7" s="77">
        <f>IF(ISERROR(LiftC-t_value*SQRT(Lift_Var_C)),"-",LiftC-t_value*SQRT(Lift_Var_C))</f>
        <v>-3.3895911165607098E-3</v>
      </c>
      <c r="AA7" s="78">
        <f>IF(ISERROR(LiftC+t_value*SQRT(Lift_Var_C)),"-",LiftC+t_value*SQRT(Lift_Var_C))</f>
        <v>7.4195034364100854E-2</v>
      </c>
      <c r="AB7" s="16"/>
      <c r="AC7" s="16"/>
      <c r="AD7" s="16"/>
      <c r="AE7" s="16"/>
      <c r="AF7" s="16"/>
      <c r="AG7" s="16"/>
      <c r="AH7" s="16"/>
      <c r="AI7" s="16"/>
      <c r="AJ7" s="16"/>
      <c r="AK7" s="16"/>
    </row>
    <row r="8" spans="1:37" ht="15">
      <c r="A8" s="6"/>
      <c r="B8" s="2"/>
      <c r="C8" s="23" t="s">
        <v>62</v>
      </c>
      <c r="D8" s="24">
        <v>122245</v>
      </c>
      <c r="E8" s="25">
        <v>5018</v>
      </c>
      <c r="F8" s="26">
        <v>4567442.99</v>
      </c>
      <c r="G8" s="28">
        <v>6548275724.9200001</v>
      </c>
      <c r="H8" s="2"/>
      <c r="I8" s="207" t="s">
        <v>18</v>
      </c>
      <c r="J8" s="207"/>
      <c r="K8" s="2"/>
      <c r="L8" s="79" t="s">
        <v>64</v>
      </c>
      <c r="M8" s="151" t="str">
        <f>IF(ISERROR(convD/visitorsD),"-",convD/visitorsD)</f>
        <v>-</v>
      </c>
      <c r="N8" s="62" t="str">
        <f>IF(ISERROR(SQRT(CR_D*(1-CR_D))),"-",SQRT(CR_D*(1-CR_D)))</f>
        <v>-</v>
      </c>
      <c r="O8" s="52" t="str">
        <f>IF(ISERROR(stdevD/SQRT(visitorsD)),"-",stdevD/SQRT(visitorsD))</f>
        <v>-</v>
      </c>
      <c r="P8" s="80" t="str">
        <f>IF(ISERROR(t_value*(stdevD/SQRT(visitorsD))),"-",t_value*(stdevD/SQRT(visitorsD)))</f>
        <v>-</v>
      </c>
      <c r="Q8" s="74" t="str">
        <f>IF(ISERROR(CR_D-CI_D),"-",CR_D-CI_D)</f>
        <v>-</v>
      </c>
      <c r="R8" s="75" t="str">
        <f>IF(ISERROR(CR_D+CI_D),"-",CR_D+CI_D)</f>
        <v>-</v>
      </c>
      <c r="S8" s="81" t="str">
        <f>IF(ISERROR(SQRT(stdevD^2/visitorsD+stdevA^2/visitorsA)),"-",SQRT(stdevD^2/visitorsD+stdevA^2/visitorsA))</f>
        <v>-</v>
      </c>
      <c r="T8" s="68" t="str">
        <f>IF(ISERROR((CR_D-CR_A)/SE_DminusA),"-",(CR_D-CR_A)/SE_DminusA)</f>
        <v>-</v>
      </c>
      <c r="U8" s="69" t="str">
        <f>IF(ISERROR(visitorsA+visitorsD-2),"-",visitorsA+visitorsD-2)</f>
        <v>-</v>
      </c>
      <c r="V8" s="154" t="str">
        <f>IF(ISERROR(1-_xlfn.T.DIST.2T(ABS(SignalNoiseD),DOF_D)),"-",1-_xlfn.T.DIST.2T(ABS(SignalNoiseD),DOF_D))</f>
        <v>-</v>
      </c>
      <c r="W8" s="80" t="str">
        <f>IF(ISERROR((CR_D-CR_A)/CR_A),"-",(CR_D-CR_A)/CR_A)</f>
        <v>-</v>
      </c>
      <c r="X8" s="76" t="str">
        <f>IF(ISERROR(((CR_D/CR_A)^2)*((SE_A_Squared^2)/(CR_A^2)+(SE_D_Squared^2)/(CR_D^2))),"-",((CR_D/CR_A)^2)*((SE_A_Squared^2)/(CR_A^2)+(SE_D_Squared^2)/(CR_D^2)))</f>
        <v>-</v>
      </c>
      <c r="Y8" s="77" t="str">
        <f>IF(ISERROR(t_value*SQRT(Lift_Var_D)),"-",t_value*SQRT(Lift_Var_D))</f>
        <v>-</v>
      </c>
      <c r="Z8" s="77" t="str">
        <f>IF(ISERROR(LiftD-t_value*SQRT(Lift_Var_D)),"-",LiftD-t_value*SQRT(Lift_Var_D))</f>
        <v>-</v>
      </c>
      <c r="AA8" s="78" t="str">
        <f>IF(ISERROR(LiftD+t_value*SQRT(Lift_Var_D)),"-",LiftD+t_value*SQRT(Lift_Var_D))</f>
        <v>-</v>
      </c>
      <c r="AB8" s="16"/>
      <c r="AC8" s="16"/>
      <c r="AD8" s="16"/>
      <c r="AE8" s="16"/>
      <c r="AF8" s="16"/>
      <c r="AG8" s="16"/>
      <c r="AH8" s="16"/>
      <c r="AI8" s="16"/>
      <c r="AJ8" s="16"/>
      <c r="AK8" s="16"/>
    </row>
    <row r="9" spans="1:37" ht="19.5">
      <c r="A9" s="6"/>
      <c r="B9" s="2"/>
      <c r="C9" s="23" t="s">
        <v>63</v>
      </c>
      <c r="D9" s="29">
        <v>122317</v>
      </c>
      <c r="E9" s="30">
        <v>5333</v>
      </c>
      <c r="F9" s="31">
        <v>5046315.87</v>
      </c>
      <c r="G9" s="27">
        <v>7461230190.6999998</v>
      </c>
      <c r="H9" s="2"/>
      <c r="I9" s="209">
        <f>_xlfn.NORM.INV(1-(1-sig_level)/2,0,1)</f>
        <v>1.9599639845400536</v>
      </c>
      <c r="J9" s="209"/>
      <c r="K9" s="2"/>
      <c r="L9" s="79" t="s">
        <v>65</v>
      </c>
      <c r="M9" s="151" t="str">
        <f>IF(ISERROR(convE/visitorsE),"-",convE/visitorsE)</f>
        <v>-</v>
      </c>
      <c r="N9" s="62" t="str">
        <f>IF(ISERROR(SQRT(CR_E*(1-CR_E))),"-",SQRT(CR_E*(1-CR_E)))</f>
        <v>-</v>
      </c>
      <c r="O9" s="52" t="str">
        <f>IF(ISERROR(stdevE/SQRT(visitorsE)),"-",stdevE/SQRT(visitorsE))</f>
        <v>-</v>
      </c>
      <c r="P9" s="80" t="str">
        <f>IF(ISERROR(t_value*(stdevE/SQRT(visitorsE))),"-",t_value*(stdevE/SQRT(visitorsE)))</f>
        <v>-</v>
      </c>
      <c r="Q9" s="74" t="str">
        <f>IF(ISERROR(CR_E-CI_E),"-",CR_E-CI_E)</f>
        <v>-</v>
      </c>
      <c r="R9" s="75" t="str">
        <f>IF(ISERROR(CR_E+CI_E),"-",CR_E+CI_E)</f>
        <v>-</v>
      </c>
      <c r="S9" s="81" t="str">
        <f>IF(ISERROR(SQRT(stdevE^2/visitorsE+stdevA^2/visitorsA)),"-",SQRT(stdevE^2/visitorsE+stdevA^2/visitorsA))</f>
        <v>-</v>
      </c>
      <c r="T9" s="68" t="str">
        <f>IF(ISERROR((CR_E-CR_A)/SE_EminusA),"-",(CR_E-CR_A)/SE_EminusA)</f>
        <v>-</v>
      </c>
      <c r="U9" s="69" t="str">
        <f>IF(ISERROR(visitorsA+visitorsE-2),"-",visitorsA+visitorsE-2)</f>
        <v>-</v>
      </c>
      <c r="V9" s="154" t="str">
        <f>IF(ISERROR(1-_xlfn.T.DIST.2T(ABS(SignalNoiseE),DOF_E)),"-",1-_xlfn.T.DIST.2T(ABS(SignalNoiseE),DOF_E))</f>
        <v>-</v>
      </c>
      <c r="W9" s="80" t="str">
        <f>IF(ISERROR((CR_E-CR_A)/CR_A),"-",(CR_E-CR_A)/CR_A)</f>
        <v>-</v>
      </c>
      <c r="X9" s="76" t="str">
        <f>IF(ISERROR(((CR_E/CR_A)^2)*((SE_A_Squared^2)/(CR_A^2)+(SE_E_Squared^2)/(CR_E^2))),"-",((CR_E/CR_A)^2)*((SE_A_Squared^2)/(CR_A^2)+(SE_E_Squared^2)/(CR_E^2)))</f>
        <v>-</v>
      </c>
      <c r="Y9" s="77" t="str">
        <f>IF(ISERROR(t_value*SQRT(Lift_Var_E)),"-",t_value*SQRT(Lift_Var_E))</f>
        <v>-</v>
      </c>
      <c r="Z9" s="77" t="str">
        <f>IF(ISERROR(LiftE-t_value*SQRT(Lift_Var_E)),"-",LiftE-t_value*SQRT(Lift_Var_E))</f>
        <v>-</v>
      </c>
      <c r="AA9" s="78" t="str">
        <f>IF(ISERROR(LiftE+t_value*SQRT(Lift_Var_E)),"-",LiftE+t_value*SQRT(Lift_Var_E))</f>
        <v>-</v>
      </c>
      <c r="AB9" s="16"/>
      <c r="AC9" s="16"/>
      <c r="AD9" s="16"/>
      <c r="AE9" s="16"/>
      <c r="AF9" s="16"/>
      <c r="AG9" s="16"/>
      <c r="AH9" s="16"/>
      <c r="AI9" s="16"/>
      <c r="AJ9" s="16"/>
      <c r="AK9" s="16"/>
    </row>
    <row r="10" spans="1:37" ht="15.75" thickBot="1">
      <c r="A10" s="6"/>
      <c r="B10" s="2"/>
      <c r="C10" s="23" t="s">
        <v>64</v>
      </c>
      <c r="D10" s="29" t="s">
        <v>19</v>
      </c>
      <c r="E10" s="30" t="s">
        <v>19</v>
      </c>
      <c r="F10" s="31" t="s">
        <v>19</v>
      </c>
      <c r="G10" s="28" t="s">
        <v>19</v>
      </c>
      <c r="H10" s="2"/>
      <c r="I10" s="2"/>
      <c r="J10" s="2"/>
      <c r="K10" s="2"/>
      <c r="L10" s="126" t="s">
        <v>65</v>
      </c>
      <c r="M10" s="155" t="str">
        <f>IF(ISERROR(convF/visitorsF),"-",convF/visitorsF)</f>
        <v>-</v>
      </c>
      <c r="N10" s="82" t="str">
        <f>IF(ISERROR(SQRT(CR_F*(1-CR_F))),"-",SQRT(CR_F*(1-CR_F)))</f>
        <v>-</v>
      </c>
      <c r="O10" s="52" t="str">
        <f>IF(ISERROR(stdevF/SQRT(visitorsF)),"-",stdevF/SQRT(visitorsF))</f>
        <v>-</v>
      </c>
      <c r="P10" s="83" t="str">
        <f>IF(ISERROR(t_value*(stdevF/SQRT(visitorsF))),"-",t_value*(stdevF/SQRT(visitorsF)))</f>
        <v>-</v>
      </c>
      <c r="Q10" s="84" t="str">
        <f>IF(ISERROR(CR_E-CI_E),"-",CR_E-CI_E)</f>
        <v>-</v>
      </c>
      <c r="R10" s="85" t="str">
        <f>IF(ISERROR(CR_F+CI_F),"-",CR_F+CI_F)</f>
        <v>-</v>
      </c>
      <c r="S10" s="86" t="str">
        <f>IF(ISERROR(SQRT(stdevF^2/visitorsF+stdevA^2/visitorsA)),"-",SQRT(stdevF^2/visitorsF+stdevA^2/visitorsA))</f>
        <v>-</v>
      </c>
      <c r="T10" s="87" t="str">
        <f>IF(ISERROR((CR_F-CR_A)/SE_FminusA),"-",(CR_F-CR_A)/SE_FminusA)</f>
        <v>-</v>
      </c>
      <c r="U10" s="88" t="str">
        <f>IF(ISERROR(visitorsA+visitorsF-2),"-",visitorsA+visitorsF-2)</f>
        <v>-</v>
      </c>
      <c r="V10" s="156" t="str">
        <f>IF(ISERROR(1-_xlfn.T.DIST.2T(ABS(SignalNoiseF),DOF_F)),"-",1-_xlfn.T.DIST.2T(ABS(SignalNoiseF),DOF_F))</f>
        <v>-</v>
      </c>
      <c r="W10" s="83" t="str">
        <f>IF(ISERROR((CR_F-CR_A)/CR_A),"-",(CR_F-CR_A)/CR_A)</f>
        <v>-</v>
      </c>
      <c r="X10" s="89" t="str">
        <f>IF(ISERROR(((CR_F/CR_A)^2)*((SE_A_Squared^2)/(CR_A^2)+(SE_F_Squared^2)/(CR_F^2))),"-",((CR_F/CR_A)^2)*((SE_A_Squared^2)/(CR_A^2)+(SE_F_Squared^2)/(CR_F^2)))</f>
        <v>-</v>
      </c>
      <c r="Y10" s="90" t="str">
        <f>IF(ISERROR(t_value*SQRT(Lift_Var_F)),"-",t_value*SQRT(Lift_Var_F))</f>
        <v>-</v>
      </c>
      <c r="Z10" s="90" t="str">
        <f>IF(ISERROR(LiftF-t_value*SQRT(Lift_Var_F)),"-",LiftF-t_value*SQRT(Lift_Var_F))</f>
        <v>-</v>
      </c>
      <c r="AA10" s="91" t="str">
        <f>IF(ISERROR(LiftF+t_value*SQRT(Lift_Var_F)),"-",LiftF+t_value*SQRT(Lift_Var_F))</f>
        <v>-</v>
      </c>
      <c r="AB10" s="16"/>
      <c r="AC10" s="16"/>
      <c r="AD10" s="16"/>
      <c r="AE10" s="16"/>
      <c r="AF10" s="16"/>
      <c r="AG10" s="16"/>
      <c r="AH10" s="16"/>
      <c r="AI10" s="16"/>
      <c r="AJ10" s="16"/>
      <c r="AK10" s="16"/>
    </row>
    <row r="11" spans="1:37" ht="15.75" thickBot="1">
      <c r="A11" s="6"/>
      <c r="B11" s="2"/>
      <c r="C11" s="23" t="s">
        <v>65</v>
      </c>
      <c r="D11" s="29" t="s">
        <v>19</v>
      </c>
      <c r="E11" s="30" t="s">
        <v>19</v>
      </c>
      <c r="F11" s="31" t="s">
        <v>19</v>
      </c>
      <c r="G11" s="28" t="s">
        <v>19</v>
      </c>
      <c r="H11" s="2"/>
      <c r="I11" s="18"/>
      <c r="J11" s="2"/>
      <c r="K11" s="15"/>
      <c r="L11" s="92" t="str">
        <f>C13</f>
        <v>Campaign</v>
      </c>
      <c r="M11" s="157"/>
      <c r="N11" s="93"/>
      <c r="O11" s="94"/>
      <c r="P11" s="95"/>
      <c r="Q11" s="93"/>
      <c r="R11" s="96"/>
      <c r="S11" s="97"/>
      <c r="T11" s="98"/>
      <c r="U11" s="98"/>
      <c r="V11" s="158"/>
      <c r="W11" s="95"/>
      <c r="X11" s="93"/>
      <c r="Y11" s="99"/>
      <c r="Z11" s="100"/>
      <c r="AA11" s="101"/>
      <c r="AB11" s="16"/>
      <c r="AC11" s="16"/>
      <c r="AD11" s="16"/>
      <c r="AE11" s="16"/>
      <c r="AF11" s="16"/>
      <c r="AG11" s="16"/>
      <c r="AH11" s="16"/>
      <c r="AI11" s="16"/>
      <c r="AJ11" s="16"/>
      <c r="AK11" s="16"/>
    </row>
    <row r="12" spans="1:37" ht="15.75" thickBot="1">
      <c r="A12" s="6"/>
      <c r="B12" s="2"/>
      <c r="C12" s="32" t="s">
        <v>65</v>
      </c>
      <c r="D12" s="33" t="s">
        <v>19</v>
      </c>
      <c r="E12" s="34" t="s">
        <v>19</v>
      </c>
      <c r="F12" s="35" t="s">
        <v>19</v>
      </c>
      <c r="G12" s="36" t="s">
        <v>19</v>
      </c>
      <c r="H12" s="2"/>
      <c r="I12" s="18"/>
      <c r="J12" s="2"/>
      <c r="K12" s="15"/>
      <c r="L12" s="102"/>
      <c r="M12" s="10"/>
      <c r="N12" s="10"/>
      <c r="O12" s="10"/>
      <c r="P12" s="10"/>
      <c r="Q12" s="10"/>
      <c r="R12" s="10"/>
      <c r="S12" s="10"/>
      <c r="T12" s="10"/>
      <c r="U12" s="103"/>
      <c r="V12" s="10"/>
      <c r="W12" s="10"/>
      <c r="X12" s="10"/>
      <c r="Y12" s="104"/>
      <c r="Z12" s="105"/>
      <c r="AA12" s="10"/>
      <c r="AB12" s="16"/>
      <c r="AC12" s="16"/>
      <c r="AD12" s="16"/>
      <c r="AE12" s="16"/>
      <c r="AF12" s="16"/>
      <c r="AG12" s="16"/>
      <c r="AH12" s="16"/>
      <c r="AI12" s="16"/>
      <c r="AJ12" s="16"/>
      <c r="AK12" s="16"/>
    </row>
    <row r="13" spans="1:37" ht="15.75" thickBot="1">
      <c r="A13" s="6"/>
      <c r="B13" s="2"/>
      <c r="C13" s="37" t="s">
        <v>1</v>
      </c>
      <c r="D13" s="38">
        <f t="shared" ref="D13:F13" si="0">SUM(D7:D12)</f>
        <v>366816</v>
      </c>
      <c r="E13" s="38">
        <f t="shared" si="0"/>
        <v>15499</v>
      </c>
      <c r="F13" s="39">
        <f t="shared" si="0"/>
        <v>14396629.93</v>
      </c>
      <c r="G13" s="40">
        <f>SUM(G7:G12)</f>
        <v>20998237604.920002</v>
      </c>
      <c r="H13" s="2"/>
      <c r="I13" s="18"/>
      <c r="J13" s="2"/>
      <c r="K13" s="15"/>
      <c r="L13" s="10"/>
      <c r="M13" s="10"/>
      <c r="N13" s="10"/>
      <c r="O13" s="10"/>
      <c r="P13" s="10"/>
      <c r="Q13" s="10"/>
      <c r="R13" s="10"/>
      <c r="S13" s="10"/>
      <c r="T13" s="10"/>
      <c r="U13" s="10"/>
      <c r="V13" s="10"/>
      <c r="W13" s="10"/>
      <c r="X13" s="10"/>
      <c r="Y13" s="10"/>
      <c r="Z13" s="10"/>
      <c r="AA13" s="10"/>
      <c r="AB13" s="16"/>
      <c r="AC13" s="16"/>
      <c r="AD13" s="16"/>
      <c r="AE13" s="16"/>
      <c r="AF13" s="16"/>
      <c r="AG13" s="16"/>
      <c r="AH13" s="16"/>
      <c r="AI13" s="16"/>
      <c r="AJ13" s="16"/>
      <c r="AK13" s="16"/>
    </row>
    <row r="14" spans="1:37" ht="19.5">
      <c r="A14" s="6"/>
      <c r="B14" s="2"/>
      <c r="C14" s="1"/>
      <c r="D14" s="2"/>
      <c r="E14" s="2"/>
      <c r="F14" s="2"/>
      <c r="G14" s="2"/>
      <c r="H14" s="2"/>
      <c r="I14" s="2"/>
      <c r="J14" s="2"/>
      <c r="K14" s="2"/>
      <c r="L14" s="41" t="s">
        <v>32</v>
      </c>
      <c r="M14" s="106"/>
      <c r="N14" s="106"/>
      <c r="O14" s="106"/>
      <c r="P14" s="106"/>
      <c r="Q14" s="106"/>
      <c r="R14" s="106"/>
      <c r="S14" s="106"/>
      <c r="T14" s="106"/>
      <c r="U14" s="106"/>
      <c r="V14" s="106"/>
      <c r="W14" s="106"/>
      <c r="X14" s="106"/>
      <c r="Y14" s="106"/>
      <c r="Z14" s="106"/>
      <c r="AA14" s="106"/>
      <c r="AB14" s="16"/>
      <c r="AC14" s="16"/>
      <c r="AD14" s="16"/>
      <c r="AE14" s="16"/>
      <c r="AF14" s="16"/>
      <c r="AG14" s="16"/>
      <c r="AH14" s="16"/>
      <c r="AI14" s="16"/>
      <c r="AJ14" s="16"/>
      <c r="AK14" s="16"/>
    </row>
    <row r="15" spans="1:37" ht="6.95" customHeight="1" thickBot="1">
      <c r="A15" s="6"/>
      <c r="B15" s="2"/>
      <c r="C15" s="2"/>
      <c r="D15" s="2"/>
      <c r="E15" s="2"/>
      <c r="F15" s="2"/>
      <c r="G15" s="2"/>
      <c r="H15" s="2"/>
      <c r="I15" s="2"/>
      <c r="J15" s="2"/>
      <c r="K15" s="2"/>
      <c r="L15" s="107"/>
      <c r="M15" s="107"/>
      <c r="N15" s="107"/>
      <c r="O15" s="107"/>
      <c r="P15" s="107"/>
      <c r="Q15" s="107"/>
      <c r="R15" s="107"/>
      <c r="S15" s="107"/>
      <c r="T15" s="108"/>
      <c r="U15" s="108"/>
      <c r="V15" s="106"/>
      <c r="W15" s="106"/>
      <c r="X15" s="106"/>
      <c r="Y15" s="106"/>
      <c r="Z15" s="108"/>
      <c r="AA15" s="108"/>
      <c r="AB15" s="16"/>
      <c r="AC15" s="16"/>
      <c r="AD15" s="16"/>
      <c r="AE15" s="16"/>
      <c r="AF15" s="16"/>
      <c r="AG15" s="16"/>
      <c r="AH15" s="16"/>
      <c r="AI15" s="16"/>
      <c r="AJ15" s="16"/>
      <c r="AK15" s="16"/>
    </row>
    <row r="16" spans="1:37" ht="90.75" thickBot="1">
      <c r="A16" s="6"/>
      <c r="B16" s="2"/>
      <c r="C16" s="2"/>
      <c r="D16" s="2"/>
      <c r="E16" s="2"/>
      <c r="F16" s="2"/>
      <c r="G16" s="2"/>
      <c r="H16" s="2"/>
      <c r="I16" s="2"/>
      <c r="J16" s="2"/>
      <c r="K16" s="2"/>
      <c r="L16" s="132" t="s">
        <v>66</v>
      </c>
      <c r="M16" s="45" t="s">
        <v>5</v>
      </c>
      <c r="N16" s="46" t="s">
        <v>36</v>
      </c>
      <c r="O16" s="47" t="s">
        <v>34</v>
      </c>
      <c r="P16" s="45" t="s">
        <v>29</v>
      </c>
      <c r="Q16" s="46" t="s">
        <v>40</v>
      </c>
      <c r="R16" s="47" t="s">
        <v>41</v>
      </c>
      <c r="S16" s="48" t="s">
        <v>7</v>
      </c>
      <c r="T16" s="50" t="s">
        <v>0</v>
      </c>
      <c r="U16" s="110" t="s">
        <v>20</v>
      </c>
      <c r="V16" s="147" t="s">
        <v>68</v>
      </c>
      <c r="W16" s="45" t="s">
        <v>55</v>
      </c>
      <c r="X16" s="46" t="s">
        <v>27</v>
      </c>
      <c r="Y16" s="46" t="s">
        <v>28</v>
      </c>
      <c r="Z16" s="46" t="s">
        <v>46</v>
      </c>
      <c r="AA16" s="47" t="s">
        <v>47</v>
      </c>
      <c r="AB16" s="16"/>
      <c r="AC16" s="16"/>
      <c r="AD16" s="16"/>
      <c r="AE16" s="16"/>
      <c r="AF16" s="16"/>
      <c r="AG16" s="16"/>
      <c r="AH16" s="16"/>
      <c r="AI16" s="16"/>
      <c r="AJ16" s="16"/>
      <c r="AK16" s="16"/>
    </row>
    <row r="17" spans="1:37" ht="15">
      <c r="A17" s="6"/>
      <c r="B17" s="2"/>
      <c r="C17" s="2"/>
      <c r="D17" s="2"/>
      <c r="E17" s="2"/>
      <c r="F17" s="2"/>
      <c r="G17" s="2"/>
      <c r="H17" s="2"/>
      <c r="I17" s="2"/>
      <c r="J17" s="2"/>
      <c r="K17" s="2"/>
      <c r="L17" s="23" t="s">
        <v>61</v>
      </c>
      <c r="M17" s="159">
        <f>SalesA/visitorsA</f>
        <v>39.122409655307806</v>
      </c>
      <c r="N17" s="111">
        <f>SQRT(Sum_Sq_A/visitorsA-(SalesA/visitorsA)^2)</f>
        <v>235.87095198901508</v>
      </c>
      <c r="O17" s="112">
        <f>st_dev_revA/SQRT(visitorsA)</f>
        <v>0.67459469422314255</v>
      </c>
      <c r="P17" s="113">
        <f>t_value*SErevA</f>
        <v>1.3221813048391695</v>
      </c>
      <c r="Q17" s="114">
        <f>RevPerVisitorA-ConfRangeArev</f>
        <v>37.800228350468636</v>
      </c>
      <c r="R17" s="115">
        <f>RevPerVisitorA+ConfRangeArev</f>
        <v>40.444590960146975</v>
      </c>
      <c r="S17" s="116" t="s">
        <v>19</v>
      </c>
      <c r="T17" s="57" t="s">
        <v>19</v>
      </c>
      <c r="U17" s="117" t="s">
        <v>19</v>
      </c>
      <c r="V17" s="160" t="s">
        <v>19</v>
      </c>
      <c r="W17" s="150" t="s">
        <v>19</v>
      </c>
      <c r="X17" s="60" t="s">
        <v>19</v>
      </c>
      <c r="Y17" s="60" t="s">
        <v>19</v>
      </c>
      <c r="Z17" s="60" t="s">
        <v>19</v>
      </c>
      <c r="AA17" s="61" t="s">
        <v>19</v>
      </c>
      <c r="AB17" s="16"/>
      <c r="AC17" s="16"/>
      <c r="AD17" s="16"/>
      <c r="AE17" s="16"/>
      <c r="AF17" s="16"/>
      <c r="AG17" s="16"/>
      <c r="AH17" s="16"/>
      <c r="AI17" s="16"/>
      <c r="AJ17" s="16"/>
      <c r="AK17" s="16"/>
    </row>
    <row r="18" spans="1:37" ht="15">
      <c r="A18" s="6"/>
      <c r="B18" s="16"/>
      <c r="C18" s="16"/>
      <c r="D18" s="16"/>
      <c r="E18" s="16"/>
      <c r="F18" s="16"/>
      <c r="G18" s="16"/>
      <c r="H18" s="16"/>
      <c r="I18" s="16"/>
      <c r="J18" s="16"/>
      <c r="K18" s="16"/>
      <c r="L18" s="23" t="s">
        <v>62</v>
      </c>
      <c r="M18" s="161">
        <f>SalesB/visitorsB</f>
        <v>37.363024990797172</v>
      </c>
      <c r="N18" s="118">
        <f>SQRT(Sum_Sq_B/visitorsB-(SalesB/visitorsB)^2)</f>
        <v>228.40933177557798</v>
      </c>
      <c r="O18" s="119">
        <f>st_dev_revB/SQRT(visitorsB)</f>
        <v>0.65327838781573411</v>
      </c>
      <c r="P18" s="113">
        <f>t_value*SErevB</f>
        <v>1.2804021119972286</v>
      </c>
      <c r="Q18" s="114">
        <f>RevPerVisitorB-ConfRangeBrev</f>
        <v>36.082622878799945</v>
      </c>
      <c r="R18" s="115">
        <f>RevPerVisitorB+ConfRangeBrev</f>
        <v>38.643427102794398</v>
      </c>
      <c r="S18" s="120">
        <f>SQRT(POWER(st_dev_revA,2)/visitorsA+(POWER(st_dev_revB,2)/visitorsB))</f>
        <v>0.93906903551397114</v>
      </c>
      <c r="T18" s="68">
        <f>(RevPerVisitorB-RevPerVisitorA)/SEdiffBrev</f>
        <v>-1.8735413457091445</v>
      </c>
      <c r="U18" s="121">
        <f>visitorsA+visitorsB-2</f>
        <v>244497</v>
      </c>
      <c r="V18" s="152">
        <f>1-_xlfn.T.DIST.2T(ABS(signal_noiseBrev),DOF_B)</f>
        <v>0.93900513917965267</v>
      </c>
      <c r="W18" s="153">
        <f>(RevPerVisitorB-RevPerVisitorA)/RevPerVisitorA</f>
        <v>-4.4971275542889141E-2</v>
      </c>
      <c r="X18" s="65">
        <f>((RevPerVisitorB/RevPerVisitorA)^2)*((SErevA*SErevA)/(RevPerVisitorA^2)+(SErevB*SErevB)/(RevPerVisitorB^2))</f>
        <v>5.500199393597997E-4</v>
      </c>
      <c r="Y18" s="65">
        <f>t_value*SQRT(RevLiftVarB)</f>
        <v>4.5966062998818481E-2</v>
      </c>
      <c r="Z18" s="65">
        <f>RevLiftB-RevLiftCIRangeB</f>
        <v>-9.093733854170763E-2</v>
      </c>
      <c r="AA18" s="66">
        <f>RevLiftB+RevLiftCIRangeB</f>
        <v>9.9478745592933987E-4</v>
      </c>
      <c r="AB18" s="16"/>
      <c r="AC18" s="16"/>
      <c r="AD18" s="16"/>
      <c r="AE18" s="16"/>
      <c r="AF18" s="16"/>
      <c r="AG18" s="16"/>
      <c r="AH18" s="16"/>
      <c r="AI18" s="16"/>
      <c r="AJ18" s="16"/>
      <c r="AK18" s="16"/>
    </row>
    <row r="19" spans="1:37" ht="15">
      <c r="A19" s="6"/>
      <c r="B19" s="16"/>
      <c r="C19" s="16"/>
      <c r="D19" s="16"/>
      <c r="E19" s="16"/>
      <c r="F19" s="16"/>
      <c r="G19" s="16"/>
      <c r="H19" s="16"/>
      <c r="I19" s="16"/>
      <c r="J19" s="16"/>
      <c r="K19" s="16"/>
      <c r="L19" s="23" t="s">
        <v>63</v>
      </c>
      <c r="M19" s="161">
        <f>IF(ISERROR(SalesC/visitorsC),"-",SalesC/visitorsC)</f>
        <v>41.256046747385895</v>
      </c>
      <c r="N19" s="118">
        <f>IF(ISERROR(SQRT(Sum_Sq_C/visitorsC-(SalesC/visitorsC)^2)),"-",SQRT(Sum_Sq_C/visitorsC-(SalesC/visitorsC)^2))</f>
        <v>243.50988766299611</v>
      </c>
      <c r="O19" s="119">
        <f>IF(ISERROR(st_dev_revC/SQRT(visitorsC)),"-",st_dev_revC/SQRT(visitorsC))</f>
        <v>0.69626279623426524</v>
      </c>
      <c r="P19" s="122">
        <f>IF(ISERROR(t_value*SErevC),"-",t_value*SErevC)</f>
        <v>1.3646500043943099</v>
      </c>
      <c r="Q19" s="123">
        <f>IF(ISERROR(RevPerVisitorC-ConfRangeCrev),"-",RevPerVisitorC-ConfRangeCrev)</f>
        <v>39.891396742991589</v>
      </c>
      <c r="R19" s="124">
        <f>IF(ISERROR(RevPerVisitorC+ConfRangeCrev),"-",RevPerVisitorC+ConfRangeCrev)</f>
        <v>42.620696751780201</v>
      </c>
      <c r="S19" s="120">
        <f>IF(ISERROR(SQRT(POWER(st_dev_revA,2)/visitorsA+(POWER(st_dev_revC,2)/visitorsC))),"-",SQRT(POWER(st_dev_revA,2)/visitorsA+(POWER(st_dev_revC,2)/visitorsC)))</f>
        <v>0.96946370891022682</v>
      </c>
      <c r="T19" s="68">
        <f>IF(ISERROR((RevPerVisitorC-RevPerVisitorA)/SEdiffCrev),"-",(RevPerVisitorC-RevPerVisitorA)/SEdiffCrev)</f>
        <v>2.2008426643185115</v>
      </c>
      <c r="U19" s="125">
        <f>IF(ISERROR(visitorsA+visitorsC-2),"-",visitorsA+visitorsC-2)</f>
        <v>244569</v>
      </c>
      <c r="V19" s="154">
        <f>IF(ISERROR(1-_xlfn.T.DIST.2T(ABS(signal_noiseCrev),DOF_C)),"-",1-_xlfn.T.DIST.2T(ABS(signal_noiseCrev),DOF_C))</f>
        <v>0.9722519049070919</v>
      </c>
      <c r="W19" s="80">
        <f>IF(ISERROR((RevPerVisitorC-RevPerVisitorA)/RevPerVisitorA),"-",(RevPerVisitorC-RevPerVisitorA)/RevPerVisitorA)</f>
        <v>5.4537466144767878E-2</v>
      </c>
      <c r="X19" s="74">
        <f>IF(ISERROR(((RevPerVisitorC/RevPerVisitorA)^2)*((SErevA*SErevA)/(RevPerVisitorA^2)+(SErevB*SErevC)/(RevPerVisitorC^2))),"-",((RevPerVisitorC/RevPerVisitorA)^2)*((SErevA*SErevA)/(RevPerVisitorA^2)+(SErevC*SErevC)/(RevPerVisitorC^2)))</f>
        <v>6.4737686736627349E-4</v>
      </c>
      <c r="Y19" s="74">
        <f>IF(ISERROR(t_value*SQRT(RevLiftVarC)),"-",t_value*SQRT(RevLiftVarC))</f>
        <v>4.9868542965054642E-2</v>
      </c>
      <c r="Z19" s="74">
        <f>IF(ISERROR(RevLiftC-RevLiftCIRangeC),"-",RevLiftC-RevLiftCIRangeC)</f>
        <v>4.6689231797132358E-3</v>
      </c>
      <c r="AA19" s="75">
        <f>IF(ISERROR(RevLiftC+RevLiftCIRangeC),"-",RevLiftC+RevLiftCIRangeC)</f>
        <v>0.10440600910982252</v>
      </c>
      <c r="AB19" s="16"/>
      <c r="AC19" s="16"/>
      <c r="AD19" s="16"/>
      <c r="AE19" s="16"/>
      <c r="AF19" s="16"/>
      <c r="AG19" s="16"/>
      <c r="AH19" s="16"/>
      <c r="AI19" s="16"/>
      <c r="AJ19" s="16"/>
      <c r="AK19" s="16"/>
    </row>
    <row r="20" spans="1:37" ht="15">
      <c r="A20" s="6"/>
      <c r="B20" s="16"/>
      <c r="C20" s="16"/>
      <c r="D20" s="16"/>
      <c r="E20" s="16"/>
      <c r="F20" s="16"/>
      <c r="G20" s="16"/>
      <c r="H20" s="16"/>
      <c r="I20" s="16"/>
      <c r="J20" s="16"/>
      <c r="K20" s="16"/>
      <c r="L20" s="23" t="s">
        <v>64</v>
      </c>
      <c r="M20" s="161" t="str">
        <f>IF(ISERROR(SalesD/visitorsD),"-",SalesD/visitorsD)</f>
        <v>-</v>
      </c>
      <c r="N20" s="118" t="str">
        <f>IF(ISERROR(SQRT(Sum_Sq_D/visitorsD-(SalesD/visitorsD)^2)),"-",SQRT(Sum_Sq_D/visitorsD-(SalesD/visitorsD)^2))</f>
        <v>-</v>
      </c>
      <c r="O20" s="119" t="str">
        <f>IF(ISERROR(st_dev_revD/SQRT(visitorsD)),"-",st_dev_revD/SQRT(visitorsD))</f>
        <v>-</v>
      </c>
      <c r="P20" s="122" t="str">
        <f>IF(ISERROR(t_value*SErevD),"-",t_value*SErevD)</f>
        <v>-</v>
      </c>
      <c r="Q20" s="123" t="str">
        <f>IF(ISERROR(RevPerVisitorD-ConfRangeDrev),"-",RevPerVisitorD-ConfRangeDrev)</f>
        <v>-</v>
      </c>
      <c r="R20" s="124" t="str">
        <f>IF(ISERROR(RevPerVisitorD+ConfRangeDrev),"-",RevPerVisitorD+ConfRangeDrev)</f>
        <v>-</v>
      </c>
      <c r="S20" s="120" t="str">
        <f>IF(ISERROR(SQRT(POWER(st_dev_revA,2)/visitorsA+(POWER(st_dev_revD,2)/visitorsD))),"-",SQRT(POWER(st_dev_revA,2)/visitorsA+(POWER(st_dev_revD,2)/visitorsD)))</f>
        <v>-</v>
      </c>
      <c r="T20" s="68" t="str">
        <f>IF(ISERROR((RevPerVisitorD-RevPerVisitorA)/SEdiffDrev),"-",(RevPerVisitorD-RevPerVisitorA)/SEdiffDrev)</f>
        <v>-</v>
      </c>
      <c r="U20" s="125" t="str">
        <f>IF(ISERROR(visitorsA+visitorsD-2),"-",visitorsA+visitorsD-2)</f>
        <v>-</v>
      </c>
      <c r="V20" s="154" t="str">
        <f>IF(ISERROR(1-_xlfn.T.DIST.2T(ABS(signal_noiseDrev),DOF_D)),"-",1-_xlfn.T.DIST.2T(ABS(signal_noiseDrev),DOF_D))</f>
        <v>-</v>
      </c>
      <c r="W20" s="80" t="str">
        <f>IF(ISERROR((RevPerVisitorD-RevPerVisitorA)/RevPerVisitorA),"-",(RevPerVisitorD-RevPerVisitorA)/RevPerVisitorA)</f>
        <v>-</v>
      </c>
      <c r="X20" s="74" t="str">
        <f>IF(ISERROR(((RevPerVisitorD/RevPerVisitorA)^2)*((SErevA*SErevA)/(RevPerVisitorA^2)+(SErevD*SErevD)/(RevPerVisitorD^2))),"-",((RevPerVisitorD/RevPerVisitorA)^2)*((SErevA*SErevA)/(RevPerVisitorA^2)+(SErevD*SErevD)/(RevPerVisitorD^2)))</f>
        <v>-</v>
      </c>
      <c r="Y20" s="74" t="str">
        <f>IF(ISERROR(t_value*SQRT(RevLiftVarD)),"-",t_value*SQRT(RevLiftVarD))</f>
        <v>-</v>
      </c>
      <c r="Z20" s="74" t="str">
        <f>IF(ISERROR(RevLiftD-RevLiftCIRangeD),"-",RevLiftD-RevLiftCIRangeD)</f>
        <v>-</v>
      </c>
      <c r="AA20" s="75" t="str">
        <f>IF(ISERROR(RevLiftD+RevLiftCIRangeD),"-",RevLiftD+RevLiftCIRangeD)</f>
        <v>-</v>
      </c>
      <c r="AB20" s="16"/>
      <c r="AC20" s="16"/>
      <c r="AD20" s="16"/>
      <c r="AE20" s="16"/>
      <c r="AF20" s="16"/>
      <c r="AG20" s="16"/>
      <c r="AH20" s="16"/>
      <c r="AI20" s="16"/>
      <c r="AJ20" s="16"/>
      <c r="AK20" s="16"/>
    </row>
    <row r="21" spans="1:37" ht="15">
      <c r="A21" s="6"/>
      <c r="B21" s="16"/>
      <c r="C21" s="16"/>
      <c r="D21" s="16"/>
      <c r="E21" s="16"/>
      <c r="F21" s="16"/>
      <c r="G21" s="16"/>
      <c r="H21" s="16"/>
      <c r="I21" s="16"/>
      <c r="J21" s="16"/>
      <c r="K21" s="16"/>
      <c r="L21" s="23" t="s">
        <v>65</v>
      </c>
      <c r="M21" s="161" t="str">
        <f>IF(ISERROR(SalesE/visitorsE),"-",SalesE/visitorsE)</f>
        <v>-</v>
      </c>
      <c r="N21" s="118" t="str">
        <f>IF(ISERROR(SQRT(Sum_Sq_E/visitorsE-(SalesE/visitorsE)^2)),"-",SQRT(Sum_Sq_E/visitorsE-(SalesE/visitorsE)^2))</f>
        <v>-</v>
      </c>
      <c r="O21" s="119" t="str">
        <f>IF(ISERROR(st_dev_revE/SQRT(visitorsE)),"-",st_dev_revE/SQRT(visitorsE))</f>
        <v>-</v>
      </c>
      <c r="P21" s="122" t="str">
        <f>IF(ISERROR(t_value*SErevE),"-",t_value*SErevE)</f>
        <v>-</v>
      </c>
      <c r="Q21" s="123" t="str">
        <f>IF(ISERROR(RevPerVisitorE-ConfRangeErev),"-",RevPerVisitorE-ConfRangeErev)</f>
        <v>-</v>
      </c>
      <c r="R21" s="124" t="str">
        <f>IF(ISERROR(RevPerVisitorE+ConfRangeErev),"-",RevPerVisitorE+ConfRangeErev)</f>
        <v>-</v>
      </c>
      <c r="S21" s="120" t="str">
        <f>IF(ISERROR(SQRT(POWER(st_dev_revA,2)/visitorsA+(POWER(st_dev_revE,2)/visitorsE))),"-",SQRT(POWER(st_dev_revA,2)/visitorsA+(POWER(st_dev_revE,2)/visitorsE)))</f>
        <v>-</v>
      </c>
      <c r="T21" s="68" t="str">
        <f>IF(ISERROR((RevPerVisitorE-RevPerVisitorA)/SEdiffErev),"-",(RevPerVisitorE-RevPerVisitorA)/SEdiffErev)</f>
        <v>-</v>
      </c>
      <c r="U21" s="125" t="str">
        <f>IF(ISERROR(visitorsA+visitorsE-2),"-",visitorsA+visitorsE-2)</f>
        <v>-</v>
      </c>
      <c r="V21" s="154" t="str">
        <f>IF(ISERROR(1-_xlfn.T.DIST.2T(ABS(signal_noiseErev),DOF_E)),"-",1-_xlfn.T.DIST.2T(ABS(signal_noiseErev),DOF_E))</f>
        <v>-</v>
      </c>
      <c r="W21" s="80" t="str">
        <f>IF(ISERROR((RevPerVisitorE-RevPerVisitorA)/RevPerVisitorA),"-",(RevPerVisitorE-RevPerVisitorA)/RevPerVisitorA)</f>
        <v>-</v>
      </c>
      <c r="X21" s="74" t="str">
        <f>IF(ISERROR(((RevPerVisitorE/RevPerVisitorA)^2)*((SErevA*SErevA)/(RevPerVisitorA^2)+(SErevE*SErevE)/(RevPerVisitorE^2))),"-",((RevPerVisitorE/RevPerVisitorA)^2)*((SErevA*SErevA)/(RevPerVisitorA^2)+(SErevE*SErevE)/(RevPerVisitorE^2)))</f>
        <v>-</v>
      </c>
      <c r="Y21" s="74" t="str">
        <f>IF(ISERROR(t_value*SQRT(RevLiftVarE)),"-",t_value*SQRT(RevLiftVarE))</f>
        <v>-</v>
      </c>
      <c r="Z21" s="74" t="str">
        <f>IF(ISERROR(RevLiftE-RevLiftCIRangeE),"-",RevLiftE-RevLiftCIRangeE)</f>
        <v>-</v>
      </c>
      <c r="AA21" s="75" t="str">
        <f>IF(ISERROR(RevLiftE+RevLiftCIRangeE),"-",RevLiftE+RevLiftCIRangeE)</f>
        <v>-</v>
      </c>
      <c r="AB21" s="16"/>
      <c r="AC21" s="16"/>
      <c r="AD21" s="16"/>
      <c r="AE21" s="16"/>
      <c r="AF21" s="16"/>
      <c r="AG21" s="16"/>
      <c r="AH21" s="16"/>
      <c r="AI21" s="16"/>
      <c r="AJ21" s="16"/>
      <c r="AK21" s="16"/>
    </row>
    <row r="22" spans="1:37" ht="15.75" thickBot="1">
      <c r="A22" s="6"/>
      <c r="B22" s="16"/>
      <c r="C22" s="16"/>
      <c r="D22" s="16"/>
      <c r="E22" s="16"/>
      <c r="F22" s="16"/>
      <c r="G22" s="16"/>
      <c r="H22" s="16"/>
      <c r="I22" s="16"/>
      <c r="J22" s="16"/>
      <c r="K22" s="16"/>
      <c r="L22" s="32" t="s">
        <v>65</v>
      </c>
      <c r="M22" s="161" t="str">
        <f>IF(ISERROR(SalesF/visitorsF),"-",SalesF/visitorsF)</f>
        <v>-</v>
      </c>
      <c r="N22" s="118" t="str">
        <f>IF(ISERROR(SQRT(Sum_Sq_F/visitorsF-(SalesF/visitorsF)^2)),"-",SQRT(Sum_Sq_F/visitorsF-(SalesF/visitorsF)^2))</f>
        <v>-</v>
      </c>
      <c r="O22" s="119" t="str">
        <f>IF(ISERROR(st_dev_revF/SQRT(visitorsF)),"-",st_dev_revF/SQRT(visitorsF))</f>
        <v>-</v>
      </c>
      <c r="P22" s="122" t="str">
        <f>IF(ISERROR(t_value*SErevF),"-",t_value*SErevF)</f>
        <v>-</v>
      </c>
      <c r="Q22" s="123" t="str">
        <f>IF(ISERROR(RevPerVisitorF-ConfRangeFrev),"-",RevPerVisitorF-ConfRangeFrev)</f>
        <v>-</v>
      </c>
      <c r="R22" s="124" t="str">
        <f>IF(ISERROR(RevPerVisitorF+ConfRangeFrev),"-",RevPerVisitorF+ConfRangeFrev)</f>
        <v>-</v>
      </c>
      <c r="S22" s="120" t="str">
        <f>IF(ISERROR(SQRT(POWER(st_dev_revA,2)/visitorsA+(POWER(st_dev_revF,2)/visitorsF))),"-",SQRT(POWER(st_dev_revA,2)/visitorsA+(POWER(st_dev_revF,2)/visitorsF)))</f>
        <v>-</v>
      </c>
      <c r="T22" s="68" t="str">
        <f>IF(ISERROR((RevPerVisitorF-RevPerVisitorA)/SEdiffFrev),"-",(RevPerVisitorF-RevPerVisitorA)/SEdiffFrev)</f>
        <v>-</v>
      </c>
      <c r="U22" s="125" t="str">
        <f>IF(ISERROR(visitorsA+visitorsF-2),"-",visitorsA+visitorsF-2)</f>
        <v>-</v>
      </c>
      <c r="V22" s="154" t="str">
        <f>IF(ISERROR(1-_xlfn.T.DIST.2T(ABS(signal_noiseFrev),DOF_F)),"-",1-_xlfn.T.DIST.2T(ABS(signal_noiseFrev),DOF_F))</f>
        <v>-</v>
      </c>
      <c r="W22" s="80" t="str">
        <f>IF(ISERROR((RevPerVisitorF-RevPerVisitorA)/RevPerVisitorA),"-",(RevPerVisitorF-RevPerVisitorA)/RevPerVisitorA)</f>
        <v>-</v>
      </c>
      <c r="X22" s="74" t="str">
        <f>IF(ISERROR(((RevPerVisitorF/RevPerVisitorA)^2)*((SErevA*SErevA)/(RevPerVisitorA^2)+(SErevF*SErevF)/(RevPerVisitorF^2))),"-",((RevPerVisitorF/RevPerVisitorA)^2)*((SErevA*SErevA)/(RevPerVisitorA^2)+(SErevF*SErevF)/(RevPerVisitorF^2)))</f>
        <v>-</v>
      </c>
      <c r="Y22" s="74" t="str">
        <f>IF(ISERROR(t_value*SQRT(RevLiftVarF)),"-",t_value*SQRT(RevLiftVarF))</f>
        <v>-</v>
      </c>
      <c r="Z22" s="74" t="str">
        <f>IF(ISERROR(RevLiftF-RevLiftCIRangeF),"-",RevLiftF-RevLiftCIRangeF)</f>
        <v>-</v>
      </c>
      <c r="AA22" s="75" t="str">
        <f>IF(ISERROR(RevLiftF+RevLiftCIRangeF),"-",RevLiftF+RevLiftCIRangeF)</f>
        <v>-</v>
      </c>
      <c r="AB22" s="16"/>
      <c r="AC22" s="16"/>
      <c r="AD22" s="16"/>
      <c r="AE22" s="16"/>
      <c r="AF22" s="16"/>
      <c r="AG22" s="16"/>
      <c r="AH22" s="16"/>
      <c r="AI22" s="16"/>
      <c r="AJ22" s="16"/>
      <c r="AK22" s="16"/>
    </row>
    <row r="23" spans="1:37" ht="15.75" thickBot="1">
      <c r="A23" s="6"/>
      <c r="B23" s="16"/>
      <c r="C23" s="16"/>
      <c r="D23" s="16"/>
      <c r="E23" s="16"/>
      <c r="F23" s="16"/>
      <c r="G23" s="16"/>
      <c r="H23" s="16"/>
      <c r="I23" s="16"/>
      <c r="J23" s="16"/>
      <c r="K23" s="16"/>
      <c r="L23" s="127" t="s">
        <v>1</v>
      </c>
      <c r="M23" s="95"/>
      <c r="N23" s="93"/>
      <c r="O23" s="96"/>
      <c r="P23" s="95"/>
      <c r="Q23" s="128"/>
      <c r="R23" s="96"/>
      <c r="S23" s="129"/>
      <c r="T23" s="98"/>
      <c r="U23" s="130"/>
      <c r="V23" s="162"/>
      <c r="W23" s="95"/>
      <c r="X23" s="93"/>
      <c r="Y23" s="93"/>
      <c r="Z23" s="93"/>
      <c r="AA23" s="96"/>
      <c r="AB23" s="16"/>
      <c r="AC23" s="16"/>
      <c r="AD23" s="16"/>
      <c r="AE23" s="16"/>
      <c r="AF23" s="16"/>
      <c r="AG23" s="16"/>
      <c r="AH23" s="16"/>
      <c r="AI23" s="16"/>
      <c r="AJ23" s="16"/>
      <c r="AK23" s="16"/>
    </row>
    <row r="24" spans="1:37">
      <c r="A24" s="6"/>
      <c r="B24" s="16"/>
      <c r="C24" s="16"/>
      <c r="D24" s="16"/>
      <c r="E24" s="16"/>
      <c r="F24" s="16"/>
      <c r="G24" s="16"/>
      <c r="H24" s="16"/>
      <c r="I24" s="16"/>
      <c r="J24" s="16"/>
      <c r="K24" s="16"/>
      <c r="L24" s="106"/>
      <c r="M24" s="106"/>
      <c r="N24" s="106"/>
      <c r="O24" s="106"/>
      <c r="P24" s="106"/>
      <c r="Q24" s="106"/>
      <c r="R24" s="106"/>
      <c r="S24" s="106"/>
      <c r="T24" s="131"/>
      <c r="U24" s="106"/>
      <c r="V24" s="106"/>
      <c r="W24" s="106"/>
      <c r="X24" s="106"/>
      <c r="Y24" s="106"/>
      <c r="Z24" s="106"/>
      <c r="AA24" s="106"/>
      <c r="AB24" s="16"/>
      <c r="AC24" s="16"/>
      <c r="AD24" s="16"/>
      <c r="AE24" s="16"/>
      <c r="AF24" s="16"/>
      <c r="AG24" s="16"/>
      <c r="AH24" s="16"/>
      <c r="AI24" s="16"/>
      <c r="AJ24" s="16"/>
      <c r="AK24" s="16"/>
    </row>
    <row r="25" spans="1:37">
      <c r="A25" s="6"/>
      <c r="B25" s="16"/>
      <c r="C25" s="16"/>
      <c r="D25" s="16"/>
      <c r="E25" s="16"/>
      <c r="F25" s="16"/>
      <c r="G25" s="16"/>
      <c r="H25" s="16"/>
      <c r="I25" s="16"/>
      <c r="J25" s="16"/>
      <c r="K25" s="16"/>
      <c r="L25" s="106"/>
      <c r="M25" s="106"/>
      <c r="N25" s="106"/>
      <c r="O25" s="106"/>
      <c r="P25" s="106"/>
      <c r="Q25" s="106"/>
      <c r="R25" s="106"/>
      <c r="S25" s="106"/>
      <c r="T25" s="106"/>
      <c r="U25" s="106"/>
      <c r="V25" s="106"/>
      <c r="W25" s="106"/>
      <c r="X25" s="106"/>
      <c r="Y25" s="106"/>
      <c r="Z25" s="106"/>
      <c r="AA25" s="106"/>
      <c r="AB25" s="16"/>
      <c r="AC25" s="16"/>
      <c r="AD25" s="16"/>
      <c r="AE25" s="16"/>
      <c r="AF25" s="16"/>
      <c r="AG25" s="16"/>
      <c r="AH25" s="16"/>
      <c r="AI25" s="16"/>
      <c r="AJ25" s="16"/>
      <c r="AK25" s="16"/>
    </row>
    <row r="26" spans="1:37" ht="19.5">
      <c r="A26" s="6"/>
      <c r="B26" s="16"/>
      <c r="C26" s="16"/>
      <c r="D26" s="16"/>
      <c r="E26" s="16"/>
      <c r="F26" s="16"/>
      <c r="G26" s="16"/>
      <c r="H26" s="16"/>
      <c r="I26" s="16"/>
      <c r="J26" s="16"/>
      <c r="K26" s="16"/>
      <c r="L26" s="163" t="s">
        <v>11</v>
      </c>
      <c r="M26" s="163"/>
      <c r="N26" s="163"/>
      <c r="O26" s="163"/>
      <c r="P26" s="163"/>
      <c r="Q26" s="163"/>
      <c r="R26" s="163"/>
      <c r="S26" s="163"/>
      <c r="T26" s="163"/>
      <c r="U26" s="41"/>
      <c r="V26" s="41"/>
      <c r="W26" s="41"/>
      <c r="X26" s="41"/>
      <c r="Y26" s="41"/>
      <c r="Z26" s="41"/>
      <c r="AA26" s="41"/>
      <c r="AB26" s="16"/>
      <c r="AC26" s="16"/>
      <c r="AD26" s="16"/>
      <c r="AE26" s="16"/>
      <c r="AF26" s="16"/>
      <c r="AG26" s="16"/>
      <c r="AH26" s="16"/>
      <c r="AI26" s="16"/>
      <c r="AJ26" s="16"/>
      <c r="AK26" s="16"/>
    </row>
    <row r="27" spans="1:37" ht="9" customHeight="1" thickBot="1">
      <c r="A27" s="6"/>
      <c r="B27" s="16"/>
      <c r="C27" s="16"/>
      <c r="D27" s="16"/>
      <c r="E27" s="16"/>
      <c r="F27" s="16"/>
      <c r="G27" s="16"/>
      <c r="H27" s="16"/>
      <c r="I27" s="16"/>
      <c r="J27" s="16"/>
      <c r="K27" s="16"/>
      <c r="L27" s="107"/>
      <c r="M27" s="107"/>
      <c r="N27" s="107"/>
      <c r="O27" s="107"/>
      <c r="P27" s="107"/>
      <c r="Q27" s="107"/>
      <c r="R27" s="106"/>
      <c r="S27" s="106"/>
      <c r="T27" s="106"/>
      <c r="U27" s="107"/>
      <c r="V27" s="107"/>
      <c r="W27" s="108"/>
      <c r="X27" s="108"/>
      <c r="Y27" s="106"/>
      <c r="Z27" s="108"/>
      <c r="AA27" s="108"/>
      <c r="AB27" s="16"/>
      <c r="AC27" s="16"/>
      <c r="AD27" s="16"/>
      <c r="AE27" s="16"/>
      <c r="AF27" s="16"/>
      <c r="AG27" s="16"/>
      <c r="AH27" s="16"/>
      <c r="AI27" s="16"/>
      <c r="AJ27" s="16"/>
      <c r="AK27" s="16"/>
    </row>
    <row r="28" spans="1:37" ht="90.75" thickBot="1">
      <c r="A28" s="6"/>
      <c r="B28" s="16"/>
      <c r="C28" s="16"/>
      <c r="D28" s="16"/>
      <c r="E28" s="16"/>
      <c r="F28" s="16"/>
      <c r="G28" s="16"/>
      <c r="H28" s="16"/>
      <c r="I28" s="16"/>
      <c r="J28" s="16"/>
      <c r="K28" s="16"/>
      <c r="L28" s="132" t="s">
        <v>66</v>
      </c>
      <c r="M28" s="45" t="s">
        <v>12</v>
      </c>
      <c r="N28" s="46" t="s">
        <v>48</v>
      </c>
      <c r="O28" s="47" t="s">
        <v>49</v>
      </c>
      <c r="P28" s="45" t="s">
        <v>37</v>
      </c>
      <c r="Q28" s="46" t="s">
        <v>38</v>
      </c>
      <c r="R28" s="47" t="s">
        <v>39</v>
      </c>
      <c r="S28" s="48" t="s">
        <v>7</v>
      </c>
      <c r="T28" s="50" t="s">
        <v>0</v>
      </c>
      <c r="U28" s="110" t="s">
        <v>20</v>
      </c>
      <c r="V28" s="147" t="s">
        <v>68</v>
      </c>
      <c r="W28" s="164" t="s">
        <v>54</v>
      </c>
      <c r="X28" s="46" t="s">
        <v>50</v>
      </c>
      <c r="Y28" s="46" t="s">
        <v>51</v>
      </c>
      <c r="Z28" s="46" t="s">
        <v>52</v>
      </c>
      <c r="AA28" s="47" t="s">
        <v>53</v>
      </c>
      <c r="AB28" s="16"/>
      <c r="AC28" s="16"/>
      <c r="AD28" s="16"/>
      <c r="AE28" s="16"/>
      <c r="AF28" s="16"/>
      <c r="AG28" s="16"/>
      <c r="AH28" s="16"/>
      <c r="AI28" s="16"/>
      <c r="AJ28" s="16"/>
      <c r="AK28" s="16"/>
    </row>
    <row r="29" spans="1:37" ht="15">
      <c r="A29" s="6"/>
      <c r="B29" s="16"/>
      <c r="C29" s="16"/>
      <c r="D29" s="16"/>
      <c r="E29" s="16"/>
      <c r="F29" s="16"/>
      <c r="G29" s="16"/>
      <c r="H29" s="16"/>
      <c r="I29" s="16"/>
      <c r="J29" s="16"/>
      <c r="K29" s="16"/>
      <c r="L29" s="23" t="s">
        <v>61</v>
      </c>
      <c r="M29" s="159">
        <f>SalesA/convA</f>
        <v>929.07363442113444</v>
      </c>
      <c r="N29" s="111">
        <f>SQRT((Sum_Sq_A/convA)-(SalesA/convA)^2)</f>
        <v>703.12493202312032</v>
      </c>
      <c r="O29" s="134">
        <f>st_dev_AOV_A/SQRT(convA)</f>
        <v>9.7997101073518866</v>
      </c>
      <c r="P29" s="113">
        <f>t_value*SE_AOV_A</f>
        <v>19.20707886934284</v>
      </c>
      <c r="Q29" s="135">
        <f>AOV_A-t_value*SE_AOV_A</f>
        <v>909.86655555179163</v>
      </c>
      <c r="R29" s="136">
        <f>AOV_A+t_value*SE_AOV_A</f>
        <v>948.28071329047725</v>
      </c>
      <c r="S29" s="116" t="s">
        <v>19</v>
      </c>
      <c r="T29" s="57" t="s">
        <v>19</v>
      </c>
      <c r="U29" s="117" t="s">
        <v>19</v>
      </c>
      <c r="V29" s="165" t="s">
        <v>19</v>
      </c>
      <c r="W29" s="166" t="s">
        <v>19</v>
      </c>
      <c r="X29" s="137" t="s">
        <v>19</v>
      </c>
      <c r="Y29" s="138" t="s">
        <v>19</v>
      </c>
      <c r="Z29" s="138" t="s">
        <v>19</v>
      </c>
      <c r="AA29" s="139" t="s">
        <v>19</v>
      </c>
      <c r="AB29" s="16"/>
      <c r="AC29" s="16"/>
      <c r="AD29" s="16"/>
      <c r="AE29" s="16"/>
      <c r="AF29" s="16"/>
      <c r="AG29" s="16"/>
      <c r="AH29" s="16"/>
      <c r="AI29" s="16"/>
      <c r="AJ29" s="16"/>
      <c r="AK29" s="16"/>
    </row>
    <row r="30" spans="1:37" ht="15">
      <c r="A30" s="6"/>
      <c r="B30" s="16"/>
      <c r="C30" s="16"/>
      <c r="D30" s="16"/>
      <c r="E30" s="16"/>
      <c r="F30" s="16"/>
      <c r="G30" s="16"/>
      <c r="H30" s="16"/>
      <c r="I30" s="16"/>
      <c r="J30" s="16"/>
      <c r="K30" s="16"/>
      <c r="L30" s="23" t="s">
        <v>62</v>
      </c>
      <c r="M30" s="161">
        <f>SalesB/convB</f>
        <v>910.21183539258675</v>
      </c>
      <c r="N30" s="118">
        <f>SQRT((Sum_Sq_B/convB)-(SalesB/convB)^2)</f>
        <v>690.26930499617868</v>
      </c>
      <c r="O30" s="124">
        <f>st_dev_AOV_B/SQRT(convB)</f>
        <v>9.7443580411895727</v>
      </c>
      <c r="P30" s="113">
        <f>t_value*SE_AOV_B</f>
        <v>19.098590813194825</v>
      </c>
      <c r="Q30" s="135">
        <f>AOV_B-t_value*SE_AOV_B</f>
        <v>891.1132445793919</v>
      </c>
      <c r="R30" s="136">
        <f>AOV_B+t_value*SE_AOV_B</f>
        <v>929.3104262057816</v>
      </c>
      <c r="S30" s="141">
        <f>SQRT(POWER(st_dev_AOV_A,2)/convA+(POWER(st_dev_AOV_B,2)/convB))</f>
        <v>13.819798544951031</v>
      </c>
      <c r="T30" s="68">
        <f>(AOV_B-AOV_A)/SEdiffB_AOV</f>
        <v>-1.3648389278032367</v>
      </c>
      <c r="U30" s="121">
        <f>visitorsA+visitorsB-2</f>
        <v>244497</v>
      </c>
      <c r="V30" s="152">
        <f>1-_xlfn.T.DIST.2T(ABS(signal_noiseB_AOV),DOF_B)</f>
        <v>0.82769506328229492</v>
      </c>
      <c r="W30" s="167">
        <f>(AOV_B-AOV_A)/AOV_A</f>
        <v>-2.0301726719755279E-2</v>
      </c>
      <c r="X30" s="65">
        <f>((AOV_B/AOV_A)^2)*((SE_AOV_A*SE_AOV_A)/(AOV_A^2)+(SE_AOV_B*SE_AOV_B)/(AOV_B^2))</f>
        <v>2.1678857406940287E-4</v>
      </c>
      <c r="Y30" s="65">
        <f>t_value*SQRT(AOV_Lift_Var_B)</f>
        <v>2.8858003743928804E-2</v>
      </c>
      <c r="Z30" s="65">
        <f>AOV_Lift_B-AOV_CI_Range_B</f>
        <v>-4.9159730463684083E-2</v>
      </c>
      <c r="AA30" s="66">
        <f>AOV_Lift_B+AOV_CI_Range_B</f>
        <v>8.5562770241735253E-3</v>
      </c>
      <c r="AB30" s="16"/>
      <c r="AC30" s="16"/>
      <c r="AD30" s="16"/>
      <c r="AE30" s="16"/>
      <c r="AF30" s="16"/>
      <c r="AG30" s="16"/>
      <c r="AH30" s="16"/>
      <c r="AI30" s="16"/>
      <c r="AJ30" s="16"/>
      <c r="AK30" s="16"/>
    </row>
    <row r="31" spans="1:37" ht="15">
      <c r="A31" s="6"/>
      <c r="B31" s="16"/>
      <c r="C31" s="16"/>
      <c r="D31" s="16"/>
      <c r="E31" s="16"/>
      <c r="F31" s="16"/>
      <c r="G31" s="16"/>
      <c r="H31" s="16"/>
      <c r="I31" s="16"/>
      <c r="J31" s="16"/>
      <c r="K31" s="16"/>
      <c r="L31" s="23" t="s">
        <v>63</v>
      </c>
      <c r="M31" s="161">
        <f>IF(ISERROR(SalesC/convC),"-",SalesC/convC)</f>
        <v>946.24336583536478</v>
      </c>
      <c r="N31" s="118">
        <f>IF(ISERROR(SQRT((Sum_Sq_C/convC)-(SalesC/convC)^2)),"-",SQRT((Sum_Sq_C/convC)-(SalesC/convC)^2))</f>
        <v>709.7123326568427</v>
      </c>
      <c r="O31" s="124">
        <f>IF(ISERROR(st_dev_AOV_C/SQRT(convC)),"-",st_dev_AOV_C/SQRT(convC))</f>
        <v>9.7184400543912588</v>
      </c>
      <c r="P31" s="113">
        <f>IF(ISERROR(t_value*SE_AOV_C),"-",t_value*SE_AOV_C)</f>
        <v>19.047792492518347</v>
      </c>
      <c r="Q31" s="135">
        <f>IF(ISERROR(AOV_C-t_value*SE_AOV_C),"-",AOV_C-t_value*SE_AOV_C)</f>
        <v>927.19557334284639</v>
      </c>
      <c r="R31" s="136">
        <f>IF(ISERROR(AOV_C+t_value*SE_AOV_C),"-",AOV_C+t_value*SE_AOV_C)</f>
        <v>965.29115832788318</v>
      </c>
      <c r="S31" s="141">
        <f>IF(ISERROR(SQRT(POWER(st_dev_AOV_A,2)/convA+(POWER(st_dev_AOV_C,2)/convC))),"-",SQRT(POWER(st_dev_AOV_A,2)/convA+(POWER(st_dev_AOV_C,2)/convC)))</f>
        <v>13.80153597535184</v>
      </c>
      <c r="T31" s="68">
        <f>IF(ISERROR((AOV_C-AOV_A)/SEdiffC_AOV),"-",(AOV_C-AOV_A)/SEdiffC_AOV)</f>
        <v>1.2440449704216807</v>
      </c>
      <c r="U31" s="121">
        <f>IF(ISERROR(visitorsA+visitorsC-2),"-",visitorsA+visitorsC-2)</f>
        <v>244569</v>
      </c>
      <c r="V31" s="152">
        <f>IF(ISERROR(1-_xlfn.T.DIST.2T(ABS(signal_noiseC_AOV),DOF_C)),"-",1-_xlfn.T.DIST.2T(ABS(signal_noiseC_AOV),DOF_C))</f>
        <v>0.78651579529140891</v>
      </c>
      <c r="W31" s="167">
        <f>IF(ISERROR((AOV_C-AOV_A)/AOV_A),"-",(AOV_C-AOV_A)/AOV_A)</f>
        <v>1.8480485053187477E-2</v>
      </c>
      <c r="X31" s="65">
        <f>IF(ISERROR(((AOV_C/AOV_A)^2)*((SE_AOV_A*SE_AOV_A)/(AOV_A^2)+(SE_AOV_C*SE_AOV_C)/(AOV_C^2))),"-",((AOV_C/AOV_A)^2)*((SE_AOV_A*SE_AOV_A)/(AOV_A^2)+(SE_AOV_C*SE_AOV_C)/(AOV_C^2)))</f>
        <v>2.2482588314507674E-4</v>
      </c>
      <c r="Y31" s="65">
        <f>IF(ISERROR(t_value*SQRT(AOV_Lift_Var_C)),"-",t_value*SQRT(AOV_Lift_Var_C))</f>
        <v>2.9388082141031273E-2</v>
      </c>
      <c r="Z31" s="65">
        <f>IF(ISERROR(AOV_Lift_C-AOV_CI_Range_C),"-",AOV_Lift_C-AOV_CI_Range_C)</f>
        <v>-1.0907597087843796E-2</v>
      </c>
      <c r="AA31" s="66">
        <f>IF(ISERROR(AOV_Lift_C+AOV_CI_Range_C),"-",AOV_Lift_C+AOV_CI_Range_C)</f>
        <v>4.7868567194218753E-2</v>
      </c>
      <c r="AB31" s="16"/>
      <c r="AC31" s="16"/>
      <c r="AD31" s="16"/>
      <c r="AE31" s="16"/>
      <c r="AF31" s="16"/>
      <c r="AG31" s="16"/>
      <c r="AH31" s="16"/>
      <c r="AI31" s="16"/>
      <c r="AJ31" s="16"/>
      <c r="AK31" s="16"/>
    </row>
    <row r="32" spans="1:37" ht="15">
      <c r="A32" s="6"/>
      <c r="B32" s="16"/>
      <c r="C32" s="16"/>
      <c r="D32" s="16"/>
      <c r="E32" s="16"/>
      <c r="F32" s="16"/>
      <c r="G32" s="16"/>
      <c r="H32" s="16"/>
      <c r="I32" s="16"/>
      <c r="J32" s="16"/>
      <c r="K32" s="16"/>
      <c r="L32" s="23" t="s">
        <v>64</v>
      </c>
      <c r="M32" s="161" t="str">
        <f>IF(ISERROR(SalesD/convD),"-",SalesD/convD)</f>
        <v>-</v>
      </c>
      <c r="N32" s="118" t="str">
        <f>IF(ISERROR(SQRT((Sum_Sq_D/convD)-(SalesD/convD)^2)),"-",SQRT((Sum_Sq_D/convD)-(SalesD/convD)^2))</f>
        <v>-</v>
      </c>
      <c r="O32" s="124" t="str">
        <f>IF(ISERROR(st_dev_AOV_D/SQRT(convD)),"-",st_dev_AOV_D/SQRT(convD))</f>
        <v>-</v>
      </c>
      <c r="P32" s="113" t="str">
        <f>IF(ISERROR(t_value*SE_AOV_D),"-",t_value*SE_AOV_D)</f>
        <v>-</v>
      </c>
      <c r="Q32" s="143" t="str">
        <f>IF(ISERROR(AOV_D-t_value*SE_AOV_D),"-",AOV_D-t_value*SE_AOV_D)</f>
        <v>-</v>
      </c>
      <c r="R32" s="134" t="str">
        <f>IF(ISERROR(AOV_D+t_value*SE_AOV_D),"-",AOV_D+t_value*SE_AOV_D)</f>
        <v>-</v>
      </c>
      <c r="S32" s="141" t="str">
        <f>IF(ISERROR(SQRT(POWER(st_dev_AOV_A,2)/convA+(POWER(st_dev_AOV_D,2)/convD))),"-",SQRT(POWER(st_dev_AOV_A,2)/convA+(POWER(st_dev_AOV_D,2)/convD)))</f>
        <v>-</v>
      </c>
      <c r="T32" s="68" t="str">
        <f>IF(ISERROR((AOV_D-AOV_A)/SEdiffD_AOV),"-",(AOV_D-AOV_A)/SEdiffD_AOV)</f>
        <v>-</v>
      </c>
      <c r="U32" s="125" t="str">
        <f>IF(ISERROR(visitorsA+visitorsD-2),"-",visitorsA+visitorsD-2)</f>
        <v>-</v>
      </c>
      <c r="V32" s="154" t="str">
        <f>IF(ISERROR(1-_xlfn.T.DIST.2T(ABS(signal_noiseD_AOV),DOF_D)),"-",1-_xlfn.T.DIST.2T(ABS(signal_noiseD_AOV),DOF_D))</f>
        <v>-</v>
      </c>
      <c r="W32" s="168" t="str">
        <f>IF(ISERROR((AOV_D-AOV_A)/AOV_A),"-",(AOV_D-AOV_A)/AOV_A)</f>
        <v>-</v>
      </c>
      <c r="X32" s="74" t="str">
        <f>IF(ISERROR(((AOV_D/AOV_A)^2)*((SE_AOV_A*SE_AOV_A)/(AOV_A^2)+(SE_AOV_D*SE_AOV_D)/(AOV_D^2))),"-",((AOV_D/AOV_A)^2)*((SE_AOV_A*SE_AOV_A)/(AOV_A^2)+(SE_AOV_D*SE_AOV_D)/(AOV_D^2)))</f>
        <v>-</v>
      </c>
      <c r="Y32" s="74" t="str">
        <f>IF(ISERROR(t_value*SQRT(AOV_Lift_Var_D)),"-",t_value*SQRT(AOV_Lift_Var_D))</f>
        <v>-</v>
      </c>
      <c r="Z32" s="74" t="str">
        <f>IF(ISERROR(AOV_Lift_D-AOV_CI_Range_D),"-",AOV_Lift_D-AOV_CI_Range_D)</f>
        <v>-</v>
      </c>
      <c r="AA32" s="75" t="str">
        <f>IF(ISERROR(AOV_Lift_D+AOV_CI_Range_D),"-",AOV_Lift_D+AOV_CI_Range_D)</f>
        <v>-</v>
      </c>
      <c r="AB32" s="16"/>
      <c r="AC32" s="16"/>
      <c r="AD32" s="16"/>
      <c r="AE32" s="16"/>
      <c r="AF32" s="16"/>
      <c r="AG32" s="16"/>
      <c r="AH32" s="16"/>
      <c r="AI32" s="16"/>
      <c r="AJ32" s="16"/>
      <c r="AK32" s="16"/>
    </row>
    <row r="33" spans="1:37" ht="15">
      <c r="A33" s="6"/>
      <c r="B33" s="16"/>
      <c r="C33" s="16"/>
      <c r="D33" s="16"/>
      <c r="E33" s="16"/>
      <c r="F33" s="16"/>
      <c r="G33" s="16"/>
      <c r="H33" s="16"/>
      <c r="I33" s="16"/>
      <c r="J33" s="16"/>
      <c r="K33" s="16"/>
      <c r="L33" s="23" t="s">
        <v>65</v>
      </c>
      <c r="M33" s="161" t="str">
        <f>IF(ISERROR(SalesE/convE),"-",SalesE/convE)</f>
        <v>-</v>
      </c>
      <c r="N33" s="118" t="str">
        <f>IF(ISERROR(SQRT((Sum_Sq_E/convE)-(SalesE/convE)^2)),"-",SQRT((Sum_Sq_E/convE)-(SalesE/convE)^2))</f>
        <v>-</v>
      </c>
      <c r="O33" s="124" t="str">
        <f>IF(ISERROR(st_dev_AOV_E/SQRT(convE)),"-",st_dev_AOV_E/SQRT(convE))</f>
        <v>-</v>
      </c>
      <c r="P33" s="113" t="str">
        <f>IF(ISERROR(t_value*SE_AOV_E),"-",t_value*SE_AOV_E)</f>
        <v>-</v>
      </c>
      <c r="Q33" s="143" t="str">
        <f>IF(ISERROR(AOV_E-t_value*SE_AOV_E),"-",AOV_E-t_value*SE_AOV_E)</f>
        <v>-</v>
      </c>
      <c r="R33" s="134" t="str">
        <f>IF(ISERROR(AOV_E+t_value*SE_AOV_E),"-",AOV_E+t_value*SE_AOV_E)</f>
        <v>-</v>
      </c>
      <c r="S33" s="141" t="str">
        <f>IF(ISERROR(SQRT(POWER(st_dev_AOV_A,2)/convA+(POWER(st_dev_AOV_E,2)/convE))),"-",SQRT(POWER(st_dev_AOV_A,2)/convA+(POWER(st_dev_AOV_E,2)/convE)))</f>
        <v>-</v>
      </c>
      <c r="T33" s="68" t="str">
        <f>IF(ISERROR((AOV_E-AOV_A)/SEdiffE_AOV),"-",(AOV_E-AOV_A)/SEdiffE_AOV)</f>
        <v>-</v>
      </c>
      <c r="U33" s="125" t="str">
        <f>IF(ISERROR(visitorsA+visitorsE-2),"-",visitorsA+visitorsE-2)</f>
        <v>-</v>
      </c>
      <c r="V33" s="154" t="str">
        <f>IF(ISERROR(1-_xlfn.T.DIST.2T(ABS(signal_noiseE_AOV),DOF_E)),"-",1-_xlfn.T.DIST.2T(ABS(signal_noiseE_AOV),DOF_E))</f>
        <v>-</v>
      </c>
      <c r="W33" s="168" t="str">
        <f>IF(ISERROR((AOV_E-AOV_A)/AOV_A),"-",(AOV_E-AOV_A)/AOV_A)</f>
        <v>-</v>
      </c>
      <c r="X33" s="74" t="str">
        <f>IF(ISERROR(((AOV_E/AOV_A)^2)*((SE_AOV_A*SE_AOV_A)/(AOV_A^2)+(SE_AOV_E*SE_AOV_E)/(AOV_E^2))),"-",((AOV_E/AOV_A)^2)*((SE_AOV_A*SE_AOV_A)/(AOV_A^2)+(SE_AOV_E*SE_AOV_E)/(AOV_E^2)))</f>
        <v>-</v>
      </c>
      <c r="Y33" s="74" t="str">
        <f>IF(ISERROR(t_value*SQRT(AOV_Lift_Var_E)),"-",t_value*SQRT(AOV_Lift_Var_E))</f>
        <v>-</v>
      </c>
      <c r="Z33" s="74" t="str">
        <f>IF(ISERROR(AOV_Lift_E-AOV_CI_Range_E),"-",AOV_Lift_E-AOV_CI_Range_E)</f>
        <v>-</v>
      </c>
      <c r="AA33" s="75" t="str">
        <f>IF(ISERROR(AOV_Lift_E+AOV_CI_Range_E),"-",AOV_Lift_E+AOV_CI_Range_E)</f>
        <v>-</v>
      </c>
      <c r="AB33" s="16"/>
      <c r="AC33" s="16"/>
      <c r="AD33" s="16"/>
      <c r="AE33" s="16"/>
      <c r="AF33" s="16"/>
      <c r="AG33" s="16"/>
      <c r="AH33" s="16"/>
      <c r="AI33" s="16"/>
      <c r="AJ33" s="16"/>
      <c r="AK33" s="16"/>
    </row>
    <row r="34" spans="1:37" ht="15.75" thickBot="1">
      <c r="A34" s="6"/>
      <c r="B34" s="16"/>
      <c r="C34" s="16"/>
      <c r="D34" s="16"/>
      <c r="E34" s="16"/>
      <c r="F34" s="16"/>
      <c r="G34" s="16"/>
      <c r="H34" s="16"/>
      <c r="I34" s="16"/>
      <c r="J34" s="16"/>
      <c r="K34" s="16"/>
      <c r="L34" s="32" t="s">
        <v>65</v>
      </c>
      <c r="M34" s="161" t="str">
        <f>IF(ISERROR(SalesF/convF),"-",SalesF/convF)</f>
        <v>-</v>
      </c>
      <c r="N34" s="118" t="str">
        <f>IF(ISERROR(SQRT((Sum_Sq_F/convF)-(SalesF/convF)^2)),"-",SQRT((Sum_Sq_F/convF)-(SalesF/convF)^2))</f>
        <v>-</v>
      </c>
      <c r="O34" s="124" t="str">
        <f>IF(ISERROR(st_dev_AOV_F/SQRT(convF)),"-",st_dev_AOV_F/SQRT(convF))</f>
        <v>-</v>
      </c>
      <c r="P34" s="113" t="str">
        <f>IF(ISERROR(t_value*SE_AOV_F),"-",t_value*SE_AOV_F)</f>
        <v>-</v>
      </c>
      <c r="Q34" s="143" t="str">
        <f>IF(ISERROR(AOV_F-t_value*SE_AOV_F),"-",AOV_F-t_value*SE_AOV_F)</f>
        <v>-</v>
      </c>
      <c r="R34" s="134" t="str">
        <f>IF(ISERROR(AOV_F+t_value*SE_AOV_F),"-",AOV_F+t_value*SE_AOV_F)</f>
        <v>-</v>
      </c>
      <c r="S34" s="141" t="str">
        <f>IF(ISERROR(SQRT(POWER(st_dev_AOV_A,2)/convA+(POWER(st_dev_AOV_F,2)/convF))),"-",SQRT(POWER(st_dev_AOV_A,2)/convA+(POWER(st_dev_AOV_F,2)/convF)))</f>
        <v>-</v>
      </c>
      <c r="T34" s="68" t="str">
        <f>IF(ISERROR((AOV_F-AOV_A)/SEdiffF_AOV),"-",(AOV_F-AOV_A)/SEdiffF_AOV)</f>
        <v>-</v>
      </c>
      <c r="U34" s="125" t="str">
        <f>IF(ISERROR(visitorsA+visitorsF-2),"-",visitorsA+visitorsF-2)</f>
        <v>-</v>
      </c>
      <c r="V34" s="154" t="str">
        <f>IF(ISERROR(1-_xlfn.T.DIST.2T(ABS(signal_noiseF_AOV),DOF_F)),"-",1-_xlfn.T.DIST.2T(ABS(signal_noiseF_AOV),DOF_F))</f>
        <v>-</v>
      </c>
      <c r="W34" s="168" t="str">
        <f>IF(ISERROR((AOV_F-AOV_A)/AOV_A),"-",(AOV_F-AOV_A)/AOV_A)</f>
        <v>-</v>
      </c>
      <c r="X34" s="74" t="str">
        <f>IF(ISERROR(((AOV_F/AOV_A)^2)*((SE_AOV_A*SE_AOV_A)/(AOV_A^2)+(SE_AOV_F*SE_AOV_F)/(AOV_F^2))),"-",((AOV_F/AOV_A)^2)*((SE_AOV_A*SE_AOV_A)/(AOV_A^2)+(SE_AOV_F*SE_AOV_F)/(AOV_F^2)))</f>
        <v>-</v>
      </c>
      <c r="Y34" s="74" t="str">
        <f>IF(ISERROR(t_value*SQRT(AOV_Lift_Var_F)),"-",t_value*SQRT(AOV_Lift_Var_F))</f>
        <v>-</v>
      </c>
      <c r="Z34" s="74" t="str">
        <f>IF(ISERROR(AOV_Lift_F-AOV_CI_Range_F),"-",AOV_Lift_F-AOV_CI_Range_F)</f>
        <v>-</v>
      </c>
      <c r="AA34" s="75" t="str">
        <f>IF(ISERROR(AOV_Lift_F+AOV_CI_Range_F),"-",AOV_Lift_F+AOV_CI_Range_F)</f>
        <v>-</v>
      </c>
      <c r="AB34" s="16"/>
      <c r="AC34" s="16"/>
      <c r="AD34" s="16"/>
      <c r="AE34" s="16"/>
      <c r="AF34" s="16"/>
      <c r="AG34" s="16"/>
      <c r="AH34" s="16"/>
      <c r="AI34" s="16"/>
      <c r="AJ34" s="16"/>
      <c r="AK34" s="16"/>
    </row>
    <row r="35" spans="1:37" ht="15.75" thickBot="1">
      <c r="A35" s="6"/>
      <c r="B35" s="16"/>
      <c r="C35" s="16"/>
      <c r="D35" s="16"/>
      <c r="E35" s="16"/>
      <c r="F35" s="16"/>
      <c r="G35" s="16"/>
      <c r="H35" s="16"/>
      <c r="I35" s="16"/>
      <c r="J35" s="16"/>
      <c r="K35" s="16"/>
      <c r="L35" s="145" t="s">
        <v>1</v>
      </c>
      <c r="M35" s="95"/>
      <c r="N35" s="93"/>
      <c r="O35" s="96"/>
      <c r="P35" s="95"/>
      <c r="Q35" s="128"/>
      <c r="R35" s="96"/>
      <c r="S35" s="129"/>
      <c r="T35" s="98"/>
      <c r="U35" s="98"/>
      <c r="V35" s="162"/>
      <c r="W35" s="157"/>
      <c r="X35" s="93"/>
      <c r="Y35" s="93"/>
      <c r="Z35" s="93"/>
      <c r="AA35" s="96"/>
      <c r="AB35" s="16"/>
      <c r="AC35" s="16"/>
      <c r="AD35" s="16"/>
      <c r="AE35" s="16"/>
      <c r="AF35" s="16"/>
      <c r="AG35" s="16"/>
      <c r="AH35" s="16"/>
      <c r="AI35" s="16"/>
      <c r="AJ35" s="16"/>
      <c r="AK35" s="16"/>
    </row>
    <row r="36" spans="1:37">
      <c r="A36" s="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row>
    <row r="37" spans="1:37">
      <c r="A37" s="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row>
    <row r="38" spans="1:37">
      <c r="A38" s="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1:37">
      <c r="A39" s="6"/>
      <c r="B39" s="16"/>
      <c r="C39" s="16"/>
      <c r="D39" s="16"/>
      <c r="E39" s="16"/>
      <c r="F39" s="16"/>
      <c r="G39" s="16"/>
      <c r="H39" s="16"/>
      <c r="I39" s="16"/>
      <c r="J39" s="16"/>
      <c r="K39" s="16"/>
      <c r="L39" s="16"/>
      <c r="M39" s="16"/>
      <c r="N39" s="16"/>
      <c r="O39" s="16"/>
      <c r="P39" s="16"/>
      <c r="Q39" s="16"/>
      <c r="R39" s="2"/>
      <c r="S39" s="2"/>
      <c r="T39" s="2"/>
      <c r="U39" s="2"/>
      <c r="V39" s="2"/>
      <c r="W39" s="16"/>
      <c r="X39" s="16"/>
      <c r="Y39" s="16"/>
      <c r="Z39" s="16"/>
      <c r="AA39" s="16"/>
      <c r="AB39" s="16"/>
      <c r="AC39" s="16"/>
      <c r="AD39" s="16"/>
      <c r="AE39" s="16"/>
      <c r="AF39" s="16"/>
      <c r="AG39" s="16"/>
      <c r="AH39" s="16"/>
      <c r="AI39" s="16"/>
      <c r="AJ39" s="16"/>
      <c r="AK39" s="16"/>
    </row>
    <row r="40" spans="1:37">
      <c r="A40" s="6"/>
      <c r="B40" s="16"/>
      <c r="C40" s="16"/>
      <c r="D40" s="16"/>
      <c r="E40" s="16"/>
      <c r="F40" s="16"/>
      <c r="G40" s="16"/>
      <c r="H40" s="16"/>
      <c r="I40" s="16"/>
      <c r="J40" s="16"/>
      <c r="K40" s="16"/>
      <c r="L40" s="16"/>
      <c r="M40" s="16"/>
      <c r="N40" s="16"/>
      <c r="O40" s="16"/>
      <c r="P40" s="16"/>
      <c r="Q40" s="16"/>
      <c r="R40" s="2"/>
      <c r="S40" s="2"/>
      <c r="T40" s="2"/>
      <c r="U40" s="2"/>
      <c r="V40" s="2"/>
      <c r="W40" s="16"/>
      <c r="X40" s="16"/>
      <c r="Y40" s="16"/>
      <c r="Z40" s="16"/>
      <c r="AA40" s="16"/>
      <c r="AB40" s="16"/>
      <c r="AC40" s="16"/>
      <c r="AD40" s="16"/>
      <c r="AE40" s="16"/>
      <c r="AF40" s="16"/>
      <c r="AG40" s="16"/>
      <c r="AH40" s="16"/>
      <c r="AI40" s="16"/>
      <c r="AJ40" s="16"/>
      <c r="AK40" s="16"/>
    </row>
    <row r="41" spans="1:37">
      <c r="A41" s="6"/>
      <c r="B41" s="16"/>
      <c r="C41" s="16"/>
      <c r="D41" s="16"/>
      <c r="E41" s="16"/>
      <c r="F41" s="16"/>
      <c r="G41" s="16"/>
      <c r="H41" s="16"/>
      <c r="I41" s="16"/>
      <c r="J41" s="16"/>
      <c r="K41" s="16"/>
      <c r="L41" s="16"/>
      <c r="M41" s="16"/>
      <c r="N41" s="16"/>
      <c r="O41" s="16"/>
      <c r="P41" s="16"/>
      <c r="Q41" s="16"/>
      <c r="R41" s="2"/>
      <c r="S41" s="2"/>
      <c r="T41" s="2"/>
      <c r="U41" s="2"/>
      <c r="V41" s="2"/>
      <c r="W41" s="16"/>
      <c r="X41" s="16"/>
      <c r="Y41" s="16"/>
      <c r="Z41" s="16"/>
      <c r="AA41" s="16"/>
      <c r="AB41" s="16"/>
      <c r="AC41" s="16"/>
      <c r="AD41" s="16"/>
      <c r="AE41" s="16"/>
      <c r="AF41" s="16"/>
      <c r="AG41" s="16"/>
      <c r="AH41" s="16"/>
      <c r="AI41" s="16"/>
      <c r="AJ41" s="16"/>
      <c r="AK41" s="16"/>
    </row>
    <row r="42" spans="1:37">
      <c r="A42" s="6"/>
      <c r="B42" s="16"/>
      <c r="C42" s="16"/>
      <c r="D42" s="16"/>
      <c r="E42" s="16"/>
      <c r="F42" s="16"/>
      <c r="G42" s="16"/>
      <c r="H42" s="16"/>
      <c r="I42" s="16"/>
      <c r="J42" s="16"/>
      <c r="K42" s="16"/>
      <c r="L42" s="16"/>
      <c r="M42" s="16"/>
      <c r="N42" s="16"/>
      <c r="O42" s="16"/>
      <c r="P42" s="16"/>
      <c r="Q42" s="16"/>
      <c r="R42" s="2"/>
      <c r="S42" s="2"/>
      <c r="T42" s="2"/>
      <c r="U42" s="2"/>
      <c r="V42" s="2"/>
      <c r="W42" s="16"/>
      <c r="X42" s="16"/>
      <c r="Y42" s="16"/>
      <c r="Z42" s="16"/>
      <c r="AA42" s="16"/>
      <c r="AB42" s="16"/>
      <c r="AC42" s="16"/>
      <c r="AD42" s="16"/>
      <c r="AE42" s="16"/>
      <c r="AF42" s="16"/>
      <c r="AG42" s="16"/>
      <c r="AH42" s="16"/>
      <c r="AI42" s="16"/>
      <c r="AJ42" s="16"/>
      <c r="AK42" s="16"/>
    </row>
    <row r="43" spans="1:37">
      <c r="A43" s="6"/>
      <c r="B43" s="16"/>
      <c r="C43" s="16"/>
      <c r="D43" s="16"/>
      <c r="E43" s="16"/>
      <c r="F43" s="16"/>
      <c r="G43" s="16"/>
      <c r="H43" s="16"/>
      <c r="I43" s="16"/>
      <c r="J43" s="16"/>
      <c r="K43" s="16"/>
      <c r="L43" s="16"/>
      <c r="M43" s="16"/>
      <c r="N43" s="16"/>
      <c r="O43" s="16"/>
      <c r="P43" s="16"/>
      <c r="Q43" s="16"/>
      <c r="R43" s="2"/>
      <c r="S43" s="2"/>
      <c r="T43" s="2"/>
      <c r="U43" s="2"/>
      <c r="V43" s="2"/>
      <c r="W43" s="16"/>
      <c r="X43" s="16"/>
      <c r="Y43" s="16"/>
      <c r="Z43" s="16"/>
      <c r="AA43" s="16"/>
      <c r="AB43" s="16"/>
      <c r="AC43" s="16"/>
      <c r="AD43" s="16"/>
      <c r="AE43" s="16"/>
      <c r="AF43" s="16"/>
      <c r="AG43" s="16"/>
      <c r="AH43" s="16"/>
      <c r="AI43" s="16"/>
      <c r="AJ43" s="16"/>
      <c r="AK43" s="16"/>
    </row>
    <row r="44" spans="1:37">
      <c r="A44" s="6"/>
      <c r="B44" s="16"/>
      <c r="C44" s="16"/>
      <c r="D44" s="16"/>
      <c r="E44" s="16"/>
      <c r="F44" s="16"/>
      <c r="G44" s="16"/>
      <c r="H44" s="16"/>
      <c r="I44" s="16"/>
      <c r="J44" s="16"/>
      <c r="K44" s="16"/>
      <c r="L44" s="16"/>
      <c r="M44" s="16"/>
      <c r="N44" s="16"/>
      <c r="O44" s="16"/>
      <c r="P44" s="16"/>
      <c r="Q44" s="16"/>
      <c r="R44" s="2"/>
      <c r="S44" s="2"/>
      <c r="T44" s="2"/>
      <c r="U44" s="2"/>
      <c r="V44" s="2"/>
      <c r="W44" s="16"/>
      <c r="X44" s="16"/>
      <c r="Y44" s="16"/>
      <c r="Z44" s="16"/>
      <c r="AA44" s="16"/>
      <c r="AB44" s="16"/>
      <c r="AC44" s="16"/>
      <c r="AD44" s="16"/>
      <c r="AE44" s="16"/>
      <c r="AF44" s="16"/>
      <c r="AG44" s="16"/>
      <c r="AH44" s="16"/>
      <c r="AI44" s="16"/>
      <c r="AJ44" s="16"/>
      <c r="AK44" s="16"/>
    </row>
    <row r="45" spans="1:37">
      <c r="A45" s="6"/>
      <c r="B45" s="16"/>
      <c r="C45" s="16"/>
      <c r="D45" s="16"/>
      <c r="E45" s="16"/>
      <c r="F45" s="16"/>
      <c r="G45" s="16"/>
      <c r="H45" s="16"/>
      <c r="I45" s="16"/>
      <c r="J45" s="16"/>
      <c r="K45" s="16"/>
      <c r="L45" s="16"/>
      <c r="M45" s="16"/>
      <c r="N45" s="16"/>
      <c r="O45" s="16"/>
      <c r="P45" s="16"/>
      <c r="Q45" s="16"/>
      <c r="R45" s="2"/>
      <c r="S45" s="2"/>
      <c r="T45" s="2"/>
      <c r="U45" s="2"/>
      <c r="V45" s="2"/>
      <c r="W45" s="16"/>
      <c r="X45" s="16"/>
      <c r="Y45" s="16"/>
      <c r="Z45" s="16"/>
      <c r="AA45" s="16"/>
      <c r="AB45" s="16"/>
      <c r="AC45" s="16"/>
      <c r="AD45" s="16"/>
      <c r="AE45" s="16"/>
      <c r="AF45" s="16"/>
      <c r="AG45" s="16"/>
      <c r="AH45" s="16"/>
      <c r="AI45" s="16"/>
      <c r="AJ45" s="16"/>
      <c r="AK45" s="16"/>
    </row>
    <row r="46" spans="1:37">
      <c r="A46" s="6"/>
      <c r="B46" s="16"/>
      <c r="C46" s="16"/>
      <c r="D46" s="16"/>
      <c r="E46" s="16"/>
      <c r="F46" s="16"/>
      <c r="G46" s="16"/>
      <c r="H46" s="16"/>
      <c r="I46" s="16"/>
      <c r="J46" s="16"/>
      <c r="K46" s="16"/>
      <c r="L46" s="16"/>
      <c r="M46" s="16"/>
      <c r="N46" s="16"/>
      <c r="O46" s="16"/>
      <c r="P46" s="16"/>
      <c r="Q46" s="16"/>
      <c r="R46" s="2"/>
      <c r="S46" s="2"/>
      <c r="T46" s="2"/>
      <c r="U46" s="2"/>
      <c r="V46" s="2"/>
      <c r="W46" s="16"/>
      <c r="X46" s="16"/>
      <c r="Y46" s="16"/>
      <c r="Z46" s="16"/>
      <c r="AA46" s="16"/>
      <c r="AB46" s="16"/>
      <c r="AC46" s="16"/>
      <c r="AD46" s="16"/>
      <c r="AE46" s="16"/>
      <c r="AF46" s="16"/>
      <c r="AG46" s="16"/>
      <c r="AH46" s="16"/>
      <c r="AI46" s="16"/>
      <c r="AJ46" s="16"/>
      <c r="AK46" s="16"/>
    </row>
    <row r="47" spans="1:37">
      <c r="A47" s="6"/>
      <c r="B47" s="16"/>
      <c r="C47" s="16"/>
      <c r="D47" s="16"/>
      <c r="E47" s="16"/>
      <c r="F47" s="16"/>
      <c r="G47" s="16"/>
      <c r="H47" s="16"/>
      <c r="I47" s="16"/>
      <c r="J47" s="16"/>
      <c r="K47" s="16"/>
      <c r="L47" s="16"/>
      <c r="M47" s="16"/>
      <c r="N47" s="16"/>
      <c r="O47" s="16"/>
      <c r="P47" s="16"/>
      <c r="Q47" s="16"/>
      <c r="R47" s="2"/>
      <c r="S47" s="2"/>
      <c r="T47" s="2"/>
      <c r="U47" s="2"/>
      <c r="V47" s="2"/>
      <c r="W47" s="16"/>
      <c r="X47" s="16"/>
      <c r="Y47" s="16"/>
      <c r="Z47" s="16"/>
      <c r="AA47" s="16"/>
      <c r="AB47" s="16"/>
      <c r="AC47" s="16"/>
      <c r="AD47" s="16"/>
      <c r="AE47" s="16"/>
      <c r="AF47" s="16"/>
      <c r="AG47" s="16"/>
      <c r="AH47" s="16"/>
      <c r="AI47" s="16"/>
      <c r="AJ47" s="16"/>
      <c r="AK47" s="16"/>
    </row>
    <row r="48" spans="1:37">
      <c r="A48" s="6"/>
      <c r="B48" s="16"/>
      <c r="C48" s="16"/>
      <c r="D48" s="16"/>
      <c r="E48" s="16"/>
      <c r="F48" s="16"/>
      <c r="G48" s="16"/>
      <c r="H48" s="16"/>
      <c r="I48" s="16"/>
      <c r="J48" s="16"/>
      <c r="K48" s="16"/>
      <c r="L48" s="16"/>
      <c r="M48" s="16"/>
      <c r="N48" s="16"/>
      <c r="O48" s="16"/>
      <c r="P48" s="16"/>
      <c r="Q48" s="16"/>
      <c r="R48" s="2"/>
      <c r="S48" s="2"/>
      <c r="T48" s="2"/>
      <c r="U48" s="2"/>
      <c r="V48" s="2"/>
      <c r="W48" s="16"/>
      <c r="X48" s="16"/>
      <c r="Y48" s="16"/>
      <c r="Z48" s="16"/>
      <c r="AA48" s="16"/>
      <c r="AB48" s="16"/>
      <c r="AC48" s="16"/>
      <c r="AD48" s="16"/>
      <c r="AE48" s="16"/>
      <c r="AF48" s="16"/>
      <c r="AG48" s="16"/>
      <c r="AH48" s="16"/>
      <c r="AI48" s="16"/>
      <c r="AJ48" s="16"/>
      <c r="AK48" s="16"/>
    </row>
    <row r="49" spans="1:37">
      <c r="A49" s="6"/>
      <c r="B49" s="16"/>
      <c r="C49" s="16"/>
      <c r="D49" s="16"/>
      <c r="E49" s="16"/>
      <c r="F49" s="16"/>
      <c r="G49" s="16"/>
      <c r="H49" s="16"/>
      <c r="I49" s="16"/>
      <c r="J49" s="16"/>
      <c r="K49" s="16"/>
      <c r="L49" s="16"/>
      <c r="M49" s="16"/>
      <c r="N49" s="16"/>
      <c r="O49" s="16"/>
      <c r="P49" s="16"/>
      <c r="Q49" s="16"/>
      <c r="R49" s="2"/>
      <c r="S49" s="2"/>
      <c r="T49" s="2"/>
      <c r="U49" s="2"/>
      <c r="V49" s="2"/>
      <c r="W49" s="16"/>
      <c r="X49" s="16"/>
      <c r="Y49" s="16"/>
      <c r="Z49" s="16"/>
      <c r="AA49" s="16"/>
      <c r="AB49" s="16"/>
      <c r="AC49" s="16"/>
      <c r="AD49" s="16"/>
      <c r="AE49" s="16"/>
      <c r="AF49" s="16"/>
      <c r="AG49" s="16"/>
      <c r="AH49" s="16"/>
      <c r="AI49" s="16"/>
      <c r="AJ49" s="16"/>
      <c r="AK49" s="16"/>
    </row>
    <row r="50" spans="1:37">
      <c r="A50" s="6"/>
      <c r="B50" s="16"/>
      <c r="C50" s="16"/>
      <c r="D50" s="16"/>
      <c r="E50" s="16"/>
      <c r="F50" s="16"/>
      <c r="G50" s="16"/>
      <c r="H50" s="16"/>
      <c r="I50" s="16"/>
      <c r="J50" s="16"/>
      <c r="K50" s="16"/>
      <c r="L50" s="16"/>
      <c r="M50" s="16"/>
      <c r="N50" s="16"/>
      <c r="O50" s="16"/>
      <c r="P50" s="16"/>
      <c r="Q50" s="16"/>
      <c r="R50" s="2"/>
      <c r="S50" s="2"/>
      <c r="T50" s="2"/>
      <c r="U50" s="2"/>
      <c r="V50" s="2"/>
      <c r="W50" s="16"/>
      <c r="X50" s="16"/>
      <c r="Y50" s="16"/>
      <c r="Z50" s="16"/>
      <c r="AA50" s="16"/>
      <c r="AB50" s="16"/>
      <c r="AC50" s="16"/>
      <c r="AD50" s="16"/>
      <c r="AE50" s="16"/>
      <c r="AF50" s="16"/>
      <c r="AG50" s="16"/>
      <c r="AH50" s="16"/>
      <c r="AI50" s="16"/>
      <c r="AJ50" s="16"/>
      <c r="AK50" s="16"/>
    </row>
    <row r="51" spans="1:37">
      <c r="A51" s="6"/>
      <c r="B51" s="16"/>
      <c r="C51" s="16"/>
      <c r="D51" s="16"/>
      <c r="E51" s="16"/>
      <c r="F51" s="16"/>
      <c r="G51" s="16"/>
      <c r="H51" s="16"/>
      <c r="I51" s="16"/>
      <c r="J51" s="16"/>
      <c r="K51" s="16"/>
      <c r="L51" s="16"/>
      <c r="M51" s="16"/>
      <c r="N51" s="16"/>
      <c r="O51" s="16"/>
      <c r="P51" s="16"/>
      <c r="Q51" s="16"/>
      <c r="R51" s="2"/>
      <c r="S51" s="2"/>
      <c r="T51" s="2"/>
      <c r="U51" s="2"/>
      <c r="V51" s="2"/>
      <c r="W51" s="16"/>
      <c r="X51" s="16"/>
      <c r="Y51" s="16"/>
      <c r="Z51" s="16"/>
      <c r="AA51" s="16"/>
      <c r="AB51" s="16"/>
      <c r="AC51" s="16"/>
      <c r="AD51" s="16"/>
      <c r="AE51" s="16"/>
      <c r="AF51" s="16"/>
      <c r="AG51" s="16"/>
      <c r="AH51" s="16"/>
      <c r="AI51" s="16"/>
      <c r="AJ51" s="16"/>
      <c r="AK51" s="16"/>
    </row>
    <row r="52" spans="1:37" ht="15">
      <c r="A52" s="6"/>
      <c r="B52" s="8"/>
      <c r="C52" s="8"/>
      <c r="D52" s="8"/>
      <c r="E52" s="8"/>
      <c r="F52" s="8"/>
      <c r="G52" s="12"/>
      <c r="H52" s="8"/>
      <c r="I52" s="8"/>
      <c r="J52" s="8"/>
      <c r="K52" s="8"/>
      <c r="L52" s="8"/>
      <c r="M52" s="8"/>
      <c r="N52" s="8"/>
      <c r="O52" s="8"/>
      <c r="P52" s="8"/>
      <c r="Q52" s="8"/>
      <c r="R52" s="2"/>
      <c r="S52" s="2"/>
      <c r="T52" s="2"/>
      <c r="U52" s="2"/>
      <c r="V52" s="2"/>
      <c r="W52" s="16"/>
      <c r="X52" s="16"/>
      <c r="Y52" s="16"/>
      <c r="Z52" s="16"/>
      <c r="AA52" s="16"/>
      <c r="AB52" s="16"/>
      <c r="AC52" s="16"/>
      <c r="AD52" s="16"/>
      <c r="AE52" s="16"/>
      <c r="AF52" s="16"/>
      <c r="AG52" s="16"/>
      <c r="AH52" s="16"/>
      <c r="AI52" s="16"/>
      <c r="AJ52" s="16"/>
      <c r="AK52" s="16"/>
    </row>
    <row r="53" spans="1:37" ht="15">
      <c r="A53" s="6"/>
      <c r="B53" s="8"/>
      <c r="C53" s="8"/>
      <c r="D53" s="8"/>
      <c r="E53" s="8"/>
      <c r="F53" s="8"/>
      <c r="G53" s="8"/>
      <c r="H53" s="8"/>
      <c r="I53" s="8"/>
      <c r="J53" s="8"/>
      <c r="K53" s="8"/>
      <c r="L53" s="8"/>
      <c r="M53" s="8"/>
      <c r="N53" s="8"/>
      <c r="O53" s="8"/>
      <c r="P53" s="8"/>
      <c r="Q53" s="8"/>
      <c r="R53" s="2"/>
      <c r="S53" s="2"/>
      <c r="T53" s="2"/>
      <c r="U53" s="2"/>
      <c r="V53" s="2"/>
      <c r="W53" s="16"/>
      <c r="X53" s="16"/>
      <c r="Y53" s="16"/>
      <c r="Z53" s="16"/>
      <c r="AA53" s="16"/>
      <c r="AB53" s="16"/>
      <c r="AC53" s="16"/>
      <c r="AD53" s="16"/>
      <c r="AE53" s="16"/>
      <c r="AF53" s="16"/>
      <c r="AG53" s="16"/>
      <c r="AH53" s="16"/>
      <c r="AI53" s="16"/>
      <c r="AJ53" s="16"/>
      <c r="AK53" s="16"/>
    </row>
    <row r="54" spans="1:37" ht="15">
      <c r="A54" s="6"/>
      <c r="B54" s="8"/>
      <c r="C54" s="8"/>
      <c r="D54" s="8"/>
      <c r="E54" s="8"/>
      <c r="F54" s="8"/>
      <c r="G54" s="8"/>
      <c r="H54" s="8"/>
      <c r="I54" s="8"/>
      <c r="J54" s="8"/>
      <c r="K54" s="8"/>
      <c r="L54" s="8"/>
      <c r="M54" s="8"/>
      <c r="N54" s="8"/>
      <c r="O54" s="8"/>
      <c r="P54" s="8"/>
      <c r="Q54" s="8"/>
      <c r="R54" s="2"/>
      <c r="S54" s="2"/>
      <c r="T54" s="2"/>
      <c r="U54" s="2"/>
      <c r="V54" s="2"/>
      <c r="W54" s="16"/>
      <c r="X54" s="16"/>
      <c r="Y54" s="16"/>
      <c r="Z54" s="16"/>
      <c r="AA54" s="16"/>
      <c r="AB54" s="16"/>
      <c r="AC54" s="16"/>
      <c r="AD54" s="16"/>
      <c r="AE54" s="16"/>
      <c r="AF54" s="16"/>
      <c r="AG54" s="16"/>
      <c r="AH54" s="16"/>
      <c r="AI54" s="16"/>
      <c r="AJ54" s="16"/>
      <c r="AK54" s="16"/>
    </row>
    <row r="55" spans="1:37">
      <c r="A55" s="6"/>
      <c r="B55" s="2"/>
      <c r="C55" s="2"/>
      <c r="D55" s="2"/>
      <c r="E55" s="2"/>
      <c r="F55" s="2"/>
      <c r="G55" s="2"/>
      <c r="H55" s="2"/>
      <c r="I55" s="2"/>
      <c r="J55" s="2"/>
      <c r="K55" s="2"/>
      <c r="L55" s="2"/>
      <c r="M55" s="2"/>
      <c r="N55" s="2"/>
      <c r="O55" s="2"/>
      <c r="P55" s="2"/>
      <c r="Q55" s="2"/>
      <c r="R55" s="2"/>
      <c r="S55" s="2"/>
      <c r="T55" s="2"/>
      <c r="U55" s="2"/>
      <c r="V55" s="2"/>
      <c r="W55" s="16"/>
      <c r="X55" s="16"/>
      <c r="Y55" s="16"/>
      <c r="Z55" s="16"/>
      <c r="AA55" s="16"/>
      <c r="AB55" s="16"/>
      <c r="AC55" s="16"/>
      <c r="AD55" s="16"/>
      <c r="AE55" s="16"/>
      <c r="AF55" s="16"/>
      <c r="AG55" s="16"/>
      <c r="AH55" s="16"/>
      <c r="AI55" s="16"/>
      <c r="AJ55" s="16"/>
      <c r="AK55" s="16"/>
    </row>
    <row r="56" spans="1:37">
      <c r="A56" s="6"/>
      <c r="B56" s="2"/>
      <c r="C56" s="2"/>
      <c r="D56" s="2"/>
      <c r="E56" s="2"/>
      <c r="F56" s="2"/>
      <c r="G56" s="2"/>
      <c r="H56" s="2"/>
      <c r="I56" s="2"/>
      <c r="J56" s="2"/>
      <c r="K56" s="2"/>
      <c r="L56" s="2"/>
      <c r="M56" s="2"/>
      <c r="N56" s="2"/>
      <c r="O56" s="2"/>
      <c r="P56" s="2"/>
      <c r="Q56" s="2"/>
      <c r="R56" s="2"/>
      <c r="S56" s="2"/>
      <c r="T56" s="2"/>
      <c r="U56" s="2"/>
      <c r="V56" s="2"/>
      <c r="W56" s="16"/>
      <c r="X56" s="16"/>
      <c r="Y56" s="16"/>
      <c r="Z56" s="16"/>
      <c r="AA56" s="16"/>
      <c r="AB56" s="16"/>
      <c r="AC56" s="16"/>
      <c r="AD56" s="16"/>
      <c r="AE56" s="16"/>
      <c r="AF56" s="16"/>
      <c r="AG56" s="16"/>
      <c r="AH56" s="16"/>
      <c r="AI56" s="16"/>
      <c r="AJ56" s="16"/>
      <c r="AK56" s="16"/>
    </row>
    <row r="57" spans="1:37">
      <c r="A57" s="6"/>
      <c r="B57" s="2"/>
      <c r="C57" s="2"/>
      <c r="D57" s="2"/>
      <c r="E57" s="2"/>
      <c r="F57" s="2"/>
      <c r="G57" s="2"/>
      <c r="H57" s="2"/>
      <c r="I57" s="2"/>
      <c r="J57" s="2"/>
      <c r="K57" s="2"/>
      <c r="L57" s="2"/>
      <c r="M57" s="2"/>
      <c r="N57" s="2"/>
      <c r="O57" s="2"/>
      <c r="P57" s="2"/>
      <c r="Q57" s="2"/>
      <c r="R57" s="2"/>
      <c r="S57" s="2"/>
      <c r="T57" s="2"/>
      <c r="U57" s="2"/>
      <c r="V57" s="2"/>
      <c r="W57" s="16"/>
      <c r="X57" s="16"/>
      <c r="Y57" s="16"/>
      <c r="Z57" s="16"/>
      <c r="AA57" s="16"/>
      <c r="AB57" s="16"/>
      <c r="AC57" s="16"/>
      <c r="AD57" s="16"/>
      <c r="AE57" s="16"/>
      <c r="AF57" s="16"/>
      <c r="AG57" s="16"/>
      <c r="AH57" s="16"/>
      <c r="AI57" s="16"/>
      <c r="AJ57" s="16"/>
      <c r="AK57" s="16"/>
    </row>
    <row r="58" spans="1:37">
      <c r="A58" s="2"/>
      <c r="B58" s="2"/>
      <c r="C58" s="2"/>
      <c r="D58" s="2"/>
      <c r="E58" s="2"/>
      <c r="F58" s="2"/>
      <c r="G58" s="2"/>
      <c r="H58" s="2"/>
      <c r="I58" s="2"/>
      <c r="J58" s="2"/>
      <c r="K58" s="2"/>
      <c r="L58" s="2"/>
      <c r="M58" s="2"/>
      <c r="N58" s="2"/>
      <c r="O58" s="2"/>
      <c r="P58" s="2"/>
      <c r="Q58" s="2"/>
      <c r="R58" s="2"/>
      <c r="S58" s="2"/>
      <c r="T58" s="2"/>
      <c r="U58" s="2"/>
      <c r="V58" s="2"/>
      <c r="W58" s="16"/>
      <c r="X58" s="16"/>
      <c r="Y58" s="16"/>
      <c r="Z58" s="16"/>
      <c r="AA58" s="16"/>
      <c r="AB58" s="16"/>
      <c r="AC58" s="16"/>
      <c r="AD58" s="16"/>
      <c r="AE58" s="16"/>
      <c r="AF58" s="16"/>
      <c r="AG58" s="16"/>
      <c r="AH58" s="16"/>
      <c r="AI58" s="16"/>
      <c r="AJ58" s="16"/>
      <c r="AK58" s="16"/>
    </row>
    <row r="59" spans="1:37">
      <c r="A59" s="2"/>
      <c r="B59" s="2"/>
      <c r="C59" s="2"/>
      <c r="D59" s="2"/>
      <c r="E59" s="2"/>
      <c r="F59" s="2"/>
      <c r="G59" s="2"/>
      <c r="H59" s="2"/>
      <c r="I59" s="2"/>
      <c r="J59" s="2"/>
      <c r="K59" s="2"/>
      <c r="L59" s="2"/>
      <c r="M59" s="2"/>
      <c r="N59" s="2"/>
      <c r="O59" s="2"/>
      <c r="P59" s="2"/>
      <c r="Q59" s="2"/>
      <c r="R59" s="2"/>
      <c r="S59" s="2"/>
      <c r="T59" s="2"/>
      <c r="U59" s="2"/>
      <c r="V59" s="2"/>
      <c r="W59" s="16"/>
      <c r="X59" s="16"/>
      <c r="Y59" s="16"/>
      <c r="Z59" s="16"/>
      <c r="AA59" s="16"/>
      <c r="AB59" s="16"/>
      <c r="AC59" s="16"/>
      <c r="AD59" s="16"/>
      <c r="AE59" s="16"/>
      <c r="AF59" s="16"/>
      <c r="AG59" s="16"/>
      <c r="AH59" s="16"/>
      <c r="AI59" s="16"/>
      <c r="AJ59" s="16"/>
      <c r="AK59" s="16"/>
    </row>
    <row r="60" spans="1:37">
      <c r="A60" s="2"/>
      <c r="B60" s="2"/>
      <c r="C60" s="2"/>
      <c r="D60" s="2"/>
      <c r="E60" s="2"/>
      <c r="F60" s="2"/>
      <c r="G60" s="2"/>
      <c r="H60" s="2"/>
      <c r="I60" s="2"/>
      <c r="J60" s="2"/>
      <c r="K60" s="2"/>
      <c r="L60" s="2"/>
      <c r="M60" s="2"/>
      <c r="N60" s="2"/>
      <c r="O60" s="2"/>
      <c r="P60" s="2"/>
      <c r="Q60" s="2"/>
      <c r="R60" s="2"/>
      <c r="S60" s="2"/>
      <c r="T60" s="2"/>
      <c r="U60" s="2"/>
      <c r="V60" s="2"/>
      <c r="W60" s="16"/>
      <c r="X60" s="16"/>
      <c r="Y60" s="16"/>
      <c r="Z60" s="16"/>
      <c r="AA60" s="16"/>
      <c r="AB60" s="16"/>
      <c r="AC60" s="16"/>
      <c r="AD60" s="16"/>
      <c r="AE60" s="16"/>
      <c r="AF60" s="16"/>
      <c r="AG60" s="16"/>
      <c r="AH60" s="16"/>
      <c r="AI60" s="16"/>
      <c r="AJ60" s="16"/>
      <c r="AK60" s="16"/>
    </row>
    <row r="61" spans="1:37">
      <c r="A61" s="2"/>
      <c r="B61" s="2"/>
      <c r="C61" s="2"/>
      <c r="D61" s="2"/>
      <c r="E61" s="2"/>
      <c r="F61" s="2"/>
      <c r="G61" s="2"/>
      <c r="H61" s="2"/>
      <c r="I61" s="2"/>
      <c r="J61" s="2"/>
      <c r="K61" s="2"/>
      <c r="L61" s="2"/>
      <c r="M61" s="2"/>
      <c r="N61" s="2"/>
      <c r="O61" s="2"/>
      <c r="P61" s="2"/>
      <c r="Q61" s="2"/>
      <c r="R61" s="16"/>
      <c r="S61" s="16"/>
      <c r="T61" s="16"/>
      <c r="U61" s="16"/>
      <c r="V61" s="16"/>
      <c r="W61" s="16"/>
      <c r="X61" s="16"/>
      <c r="Y61" s="16"/>
      <c r="Z61" s="16"/>
      <c r="AA61" s="16"/>
      <c r="AB61" s="16"/>
      <c r="AC61" s="16"/>
      <c r="AD61" s="16"/>
      <c r="AE61" s="16"/>
      <c r="AF61" s="16"/>
      <c r="AG61" s="16"/>
      <c r="AH61" s="16"/>
      <c r="AI61" s="16"/>
      <c r="AJ61" s="16"/>
      <c r="AK61" s="16"/>
    </row>
    <row r="62" spans="1:37">
      <c r="A62" s="2"/>
      <c r="B62" s="2"/>
      <c r="C62" s="2"/>
      <c r="D62" s="2"/>
      <c r="E62" s="2"/>
      <c r="F62" s="2"/>
      <c r="G62" s="2"/>
      <c r="H62" s="2"/>
      <c r="I62" s="2"/>
      <c r="J62" s="2"/>
      <c r="K62" s="2"/>
      <c r="L62" s="2"/>
      <c r="M62" s="2"/>
      <c r="N62" s="2"/>
      <c r="O62" s="2"/>
      <c r="P62" s="2"/>
      <c r="Q62" s="2"/>
      <c r="R62" s="16"/>
      <c r="S62" s="16"/>
      <c r="T62" s="16"/>
      <c r="U62" s="16"/>
      <c r="V62" s="16"/>
      <c r="W62" s="16"/>
      <c r="X62" s="16"/>
      <c r="Y62" s="16"/>
      <c r="Z62" s="16"/>
      <c r="AA62" s="16"/>
      <c r="AB62" s="16"/>
      <c r="AC62" s="16"/>
      <c r="AD62" s="16"/>
      <c r="AE62" s="16"/>
      <c r="AF62" s="16"/>
      <c r="AG62" s="16"/>
      <c r="AH62" s="16"/>
      <c r="AI62" s="16"/>
      <c r="AJ62" s="16"/>
      <c r="AK62" s="16"/>
    </row>
    <row r="63" spans="1:37">
      <c r="A63" s="2"/>
      <c r="B63" s="2"/>
      <c r="C63" s="2"/>
      <c r="D63" s="2"/>
      <c r="E63" s="2"/>
      <c r="F63" s="2"/>
      <c r="G63" s="2"/>
      <c r="H63" s="2"/>
      <c r="I63" s="2"/>
      <c r="J63" s="2"/>
      <c r="K63" s="2"/>
      <c r="L63" s="2"/>
      <c r="M63" s="2"/>
      <c r="N63" s="2"/>
      <c r="O63" s="2"/>
      <c r="P63" s="2"/>
      <c r="Q63" s="2"/>
      <c r="R63" s="16"/>
      <c r="S63" s="16"/>
      <c r="T63" s="16"/>
      <c r="U63" s="16"/>
      <c r="V63" s="16"/>
      <c r="W63" s="16"/>
      <c r="X63" s="16"/>
      <c r="Y63" s="16"/>
      <c r="Z63" s="16"/>
      <c r="AA63" s="16"/>
      <c r="AB63" s="16"/>
      <c r="AC63" s="16"/>
      <c r="AD63" s="16"/>
      <c r="AE63" s="16"/>
      <c r="AF63" s="16"/>
      <c r="AG63" s="16"/>
      <c r="AH63" s="16"/>
      <c r="AI63" s="16"/>
      <c r="AJ63" s="16"/>
      <c r="AK63" s="16"/>
    </row>
    <row r="64" spans="1:37">
      <c r="A64" s="2"/>
      <c r="B64" s="2"/>
      <c r="C64" s="2"/>
      <c r="D64" s="2"/>
      <c r="E64" s="2"/>
      <c r="F64" s="2"/>
      <c r="G64" s="2"/>
      <c r="H64" s="2"/>
      <c r="I64" s="2"/>
      <c r="J64" s="2"/>
      <c r="K64" s="2"/>
      <c r="L64" s="2"/>
      <c r="M64" s="2"/>
      <c r="N64" s="2"/>
      <c r="O64" s="2"/>
      <c r="P64" s="2"/>
      <c r="Q64" s="2"/>
      <c r="R64" s="16"/>
      <c r="S64" s="16"/>
      <c r="T64" s="16"/>
      <c r="U64" s="16"/>
      <c r="V64" s="16"/>
      <c r="W64" s="16"/>
      <c r="X64" s="16"/>
      <c r="Y64" s="16"/>
      <c r="Z64" s="16"/>
      <c r="AA64" s="16"/>
      <c r="AB64" s="16"/>
      <c r="AC64" s="16"/>
      <c r="AD64" s="16"/>
      <c r="AE64" s="16"/>
      <c r="AF64" s="16"/>
      <c r="AG64" s="16"/>
      <c r="AH64" s="16"/>
      <c r="AI64" s="16"/>
      <c r="AJ64" s="16"/>
      <c r="AK64" s="16"/>
    </row>
    <row r="65" spans="1:37">
      <c r="A65" s="2"/>
      <c r="B65" s="2"/>
      <c r="C65" s="2"/>
      <c r="D65" s="2"/>
      <c r="E65" s="2"/>
      <c r="F65" s="2"/>
      <c r="G65" s="2"/>
      <c r="H65" s="2"/>
      <c r="I65" s="2"/>
      <c r="J65" s="2"/>
      <c r="K65" s="2"/>
      <c r="L65" s="2"/>
      <c r="M65" s="2"/>
      <c r="N65" s="2"/>
      <c r="O65" s="2"/>
      <c r="P65" s="2"/>
      <c r="Q65" s="2"/>
      <c r="R65" s="16"/>
      <c r="S65" s="16"/>
      <c r="T65" s="16"/>
      <c r="U65" s="16"/>
      <c r="V65" s="16"/>
      <c r="W65" s="16"/>
      <c r="X65" s="16"/>
      <c r="Y65" s="16"/>
      <c r="Z65" s="16"/>
      <c r="AA65" s="16"/>
      <c r="AB65" s="16"/>
      <c r="AC65" s="16"/>
      <c r="AD65" s="16"/>
      <c r="AE65" s="16"/>
      <c r="AF65" s="16"/>
      <c r="AG65" s="16"/>
      <c r="AH65" s="16"/>
      <c r="AI65" s="16"/>
      <c r="AJ65" s="16"/>
      <c r="AK65" s="16"/>
    </row>
    <row r="66" spans="1:37">
      <c r="A66" s="2"/>
      <c r="B66" s="2"/>
      <c r="C66" s="2"/>
      <c r="D66" s="2"/>
      <c r="E66" s="2"/>
      <c r="F66" s="2"/>
      <c r="G66" s="2"/>
      <c r="H66" s="2"/>
      <c r="I66" s="2"/>
      <c r="J66" s="2"/>
      <c r="K66" s="2"/>
      <c r="L66" s="2"/>
      <c r="M66" s="2"/>
      <c r="N66" s="2"/>
      <c r="O66" s="2"/>
      <c r="P66" s="2"/>
      <c r="Q66" s="2"/>
      <c r="R66" s="16"/>
      <c r="S66" s="16"/>
      <c r="T66" s="16"/>
      <c r="U66" s="16"/>
      <c r="V66" s="16"/>
      <c r="W66" s="16"/>
      <c r="X66" s="16"/>
      <c r="Y66" s="16"/>
      <c r="Z66" s="16"/>
      <c r="AA66" s="16"/>
      <c r="AB66" s="16"/>
      <c r="AC66" s="16"/>
      <c r="AD66" s="16"/>
      <c r="AE66" s="16"/>
      <c r="AF66" s="16"/>
      <c r="AG66" s="16"/>
      <c r="AH66" s="16"/>
      <c r="AI66" s="16"/>
      <c r="AJ66" s="16"/>
      <c r="AK66" s="16"/>
    </row>
    <row r="67" spans="1:37">
      <c r="A67" s="2"/>
      <c r="B67" s="2"/>
      <c r="C67" s="2"/>
      <c r="D67" s="2"/>
      <c r="E67" s="2"/>
      <c r="F67" s="2"/>
      <c r="G67" s="2"/>
      <c r="H67" s="2"/>
      <c r="I67" s="2"/>
      <c r="J67" s="2"/>
      <c r="K67" s="2"/>
      <c r="L67" s="2"/>
      <c r="M67" s="2"/>
      <c r="N67" s="2"/>
      <c r="O67" s="2"/>
      <c r="P67" s="2"/>
      <c r="Q67" s="2"/>
      <c r="R67" s="16"/>
      <c r="S67" s="16"/>
      <c r="T67" s="16"/>
      <c r="U67" s="16"/>
      <c r="V67" s="16"/>
      <c r="W67" s="16"/>
      <c r="X67" s="16"/>
      <c r="Y67" s="16"/>
      <c r="Z67" s="16"/>
      <c r="AA67" s="16"/>
      <c r="AB67" s="16"/>
      <c r="AC67" s="16"/>
      <c r="AD67" s="16"/>
      <c r="AE67" s="16"/>
      <c r="AF67" s="16"/>
      <c r="AG67" s="16"/>
      <c r="AH67" s="16"/>
      <c r="AI67" s="16"/>
      <c r="AJ67" s="16"/>
      <c r="AK67" s="16"/>
    </row>
    <row r="68" spans="1:37">
      <c r="A68" s="2"/>
      <c r="B68" s="2"/>
      <c r="C68" s="2"/>
      <c r="D68" s="2"/>
      <c r="E68" s="2"/>
      <c r="F68" s="2"/>
      <c r="G68" s="2"/>
      <c r="H68" s="2"/>
      <c r="I68" s="2"/>
      <c r="J68" s="2"/>
      <c r="K68" s="2"/>
      <c r="L68" s="2"/>
      <c r="M68" s="2"/>
      <c r="N68" s="2"/>
      <c r="O68" s="2"/>
      <c r="P68" s="2"/>
      <c r="Q68" s="2"/>
      <c r="R68" s="16"/>
      <c r="S68" s="16"/>
      <c r="T68" s="16"/>
      <c r="U68" s="16"/>
      <c r="V68" s="16"/>
      <c r="W68" s="16"/>
      <c r="X68" s="16"/>
      <c r="Y68" s="16"/>
      <c r="Z68" s="16"/>
      <c r="AA68" s="16"/>
      <c r="AB68" s="16"/>
      <c r="AC68" s="16"/>
      <c r="AD68" s="16"/>
      <c r="AE68" s="16"/>
      <c r="AF68" s="16"/>
      <c r="AG68" s="16"/>
      <c r="AH68" s="16"/>
      <c r="AI68" s="16"/>
      <c r="AJ68" s="16"/>
      <c r="AK68" s="16"/>
    </row>
  </sheetData>
  <mergeCells count="5">
    <mergeCell ref="C4:G4"/>
    <mergeCell ref="I6:J6"/>
    <mergeCell ref="I7:J7"/>
    <mergeCell ref="I8:J8"/>
    <mergeCell ref="I9:J9"/>
  </mergeCells>
  <phoneticPr fontId="3" type="noConversion"/>
  <pageMargins left="0.75" right="0.75" top="1" bottom="1" header="0.5" footer="0.5"/>
  <pageSetup scale="27"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zoomScale="75" zoomScaleNormal="75" zoomScalePageLayoutView="75" workbookViewId="0">
      <selection activeCell="K17" sqref="K17"/>
    </sheetView>
  </sheetViews>
  <sheetFormatPr defaultColWidth="10.75" defaultRowHeight="12.75"/>
  <cols>
    <col min="1" max="1" width="3.875" style="172" customWidth="1"/>
    <col min="2" max="2" width="19.875" style="172" customWidth="1"/>
    <col min="3" max="3" width="17.125" style="172" customWidth="1"/>
    <col min="4" max="4" width="11.125" style="172" bestFit="1" customWidth="1"/>
    <col min="5" max="5" width="15.125" style="172" customWidth="1"/>
    <col min="6" max="6" width="16.75" style="172" bestFit="1" customWidth="1"/>
    <col min="7" max="7" width="20.25" style="172" customWidth="1"/>
    <col min="8" max="8" width="14.375" style="172" customWidth="1"/>
    <col min="9" max="9" width="16.25" style="172" customWidth="1"/>
    <col min="10" max="10" width="16.875" style="172" customWidth="1"/>
    <col min="11" max="11" width="14.375" style="172" customWidth="1"/>
    <col min="12" max="12" width="19.625" style="172" customWidth="1"/>
    <col min="13" max="13" width="18.375" style="172" customWidth="1"/>
    <col min="14" max="15" width="14.375" style="172" customWidth="1"/>
    <col min="16" max="17" width="15" style="172" customWidth="1"/>
    <col min="18" max="18" width="9.25" style="172" customWidth="1"/>
    <col min="19" max="16384" width="10.75" style="172"/>
  </cols>
  <sheetData>
    <row r="1" spans="1:18">
      <c r="A1" s="169"/>
      <c r="B1" s="170"/>
      <c r="C1" s="170"/>
      <c r="D1" s="170"/>
      <c r="E1" s="170"/>
      <c r="F1" s="170"/>
      <c r="G1" s="170"/>
      <c r="H1" s="170"/>
      <c r="I1" s="170"/>
      <c r="J1" s="170"/>
      <c r="K1" s="170"/>
      <c r="L1" s="170"/>
      <c r="M1" s="170"/>
      <c r="N1" s="170"/>
      <c r="O1" s="170"/>
      <c r="P1" s="170"/>
      <c r="Q1" s="170"/>
      <c r="R1" s="171"/>
    </row>
    <row r="2" spans="1:18" ht="35.25">
      <c r="A2" s="173"/>
      <c r="B2" s="102"/>
      <c r="C2" s="19" t="s">
        <v>35</v>
      </c>
      <c r="D2" s="174"/>
      <c r="E2" s="174"/>
      <c r="F2" s="106"/>
      <c r="G2" s="106"/>
      <c r="H2" s="106"/>
      <c r="I2" s="106"/>
      <c r="J2" s="106"/>
      <c r="K2" s="106"/>
      <c r="L2" s="106"/>
      <c r="M2" s="106"/>
      <c r="N2" s="106"/>
      <c r="O2" s="106"/>
      <c r="P2" s="106"/>
      <c r="Q2" s="106"/>
      <c r="R2" s="175"/>
    </row>
    <row r="3" spans="1:18">
      <c r="A3" s="173"/>
      <c r="B3" s="106"/>
      <c r="C3" s="106"/>
      <c r="D3" s="106"/>
      <c r="E3" s="106"/>
      <c r="F3" s="106"/>
      <c r="G3" s="106"/>
      <c r="H3" s="106"/>
      <c r="I3" s="106"/>
      <c r="J3" s="106"/>
      <c r="K3" s="106"/>
      <c r="L3" s="106"/>
      <c r="M3" s="106"/>
      <c r="N3" s="106"/>
      <c r="O3" s="106"/>
      <c r="P3" s="106"/>
      <c r="Q3" s="106"/>
      <c r="R3" s="175"/>
    </row>
    <row r="4" spans="1:18" ht="19.5">
      <c r="A4" s="173"/>
      <c r="B4" s="106"/>
      <c r="C4" s="205" t="s">
        <v>13</v>
      </c>
      <c r="D4" s="206"/>
      <c r="E4" s="206"/>
      <c r="F4" s="206"/>
      <c r="G4" s="206"/>
      <c r="H4" s="106"/>
      <c r="I4" s="106"/>
      <c r="J4" s="106"/>
      <c r="K4" s="106"/>
      <c r="L4" s="106"/>
      <c r="M4" s="106"/>
      <c r="N4" s="106"/>
      <c r="O4" s="106"/>
      <c r="P4" s="106"/>
      <c r="Q4" s="106"/>
      <c r="R4" s="175"/>
    </row>
    <row r="5" spans="1:18" ht="13.5" thickBot="1">
      <c r="A5" s="173"/>
      <c r="B5" s="106"/>
      <c r="C5" s="106"/>
      <c r="D5" s="106"/>
      <c r="E5" s="106"/>
      <c r="F5" s="106"/>
      <c r="G5" s="106"/>
      <c r="H5" s="106"/>
      <c r="I5" s="106"/>
      <c r="J5" s="106"/>
      <c r="K5" s="106"/>
      <c r="L5" s="106"/>
      <c r="M5" s="106"/>
      <c r="N5" s="106"/>
      <c r="O5" s="106"/>
      <c r="P5" s="106"/>
      <c r="Q5" s="106"/>
      <c r="R5" s="175"/>
    </row>
    <row r="6" spans="1:18" ht="15.75">
      <c r="A6" s="173"/>
      <c r="B6" s="106"/>
      <c r="C6" s="20" t="s">
        <v>67</v>
      </c>
      <c r="D6" s="21" t="s">
        <v>2</v>
      </c>
      <c r="E6" s="21" t="s">
        <v>3</v>
      </c>
      <c r="F6" s="21" t="s">
        <v>6</v>
      </c>
      <c r="G6" s="22" t="s">
        <v>8</v>
      </c>
      <c r="H6" s="106"/>
      <c r="I6" s="207" t="s">
        <v>17</v>
      </c>
      <c r="J6" s="207"/>
      <c r="K6" s="106"/>
      <c r="L6" s="106"/>
      <c r="M6" s="106"/>
      <c r="N6" s="106"/>
      <c r="O6" s="106"/>
      <c r="P6" s="106"/>
      <c r="Q6" s="106"/>
      <c r="R6" s="175"/>
    </row>
    <row r="7" spans="1:18" ht="19.5">
      <c r="A7" s="173"/>
      <c r="B7" s="106"/>
      <c r="C7" s="23" t="s">
        <v>61</v>
      </c>
      <c r="D7" s="24">
        <v>122254</v>
      </c>
      <c r="E7" s="25">
        <v>5148</v>
      </c>
      <c r="F7" s="26">
        <v>4782871.07</v>
      </c>
      <c r="G7" s="27">
        <v>6988731689.3000002</v>
      </c>
      <c r="H7" s="106"/>
      <c r="I7" s="208">
        <v>0.95</v>
      </c>
      <c r="J7" s="208"/>
      <c r="K7" s="106"/>
      <c r="L7" s="106"/>
      <c r="M7" s="106"/>
      <c r="N7" s="176"/>
      <c r="O7" s="176"/>
      <c r="P7" s="106"/>
      <c r="Q7" s="106"/>
      <c r="R7" s="175"/>
    </row>
    <row r="8" spans="1:18" ht="15">
      <c r="A8" s="173"/>
      <c r="B8" s="106"/>
      <c r="C8" s="23" t="s">
        <v>62</v>
      </c>
      <c r="D8" s="24">
        <v>122245</v>
      </c>
      <c r="E8" s="25">
        <v>5018</v>
      </c>
      <c r="F8" s="26">
        <v>4567442.99</v>
      </c>
      <c r="G8" s="28">
        <v>6548275724.9200001</v>
      </c>
      <c r="H8" s="106"/>
      <c r="I8" s="207" t="s">
        <v>18</v>
      </c>
      <c r="J8" s="207"/>
      <c r="K8" s="106"/>
      <c r="L8" s="177"/>
      <c r="M8" s="177"/>
      <c r="N8" s="177"/>
      <c r="O8" s="105"/>
      <c r="P8" s="106"/>
      <c r="Q8" s="106"/>
      <c r="R8" s="175"/>
    </row>
    <row r="9" spans="1:18" ht="19.5">
      <c r="A9" s="173"/>
      <c r="B9" s="106"/>
      <c r="C9" s="23" t="s">
        <v>63</v>
      </c>
      <c r="D9" s="29">
        <v>122317</v>
      </c>
      <c r="E9" s="30">
        <v>5333</v>
      </c>
      <c r="F9" s="31">
        <v>5046315.87</v>
      </c>
      <c r="G9" s="27">
        <v>7461230190.6999998</v>
      </c>
      <c r="H9" s="106"/>
      <c r="I9" s="209">
        <f>_xlfn.NORM.INV(1-(1-sig_level)/2,0,1)</f>
        <v>1.9599639845400536</v>
      </c>
      <c r="J9" s="209"/>
      <c r="K9" s="106"/>
      <c r="L9" s="177"/>
      <c r="M9" s="177"/>
      <c r="N9" s="177"/>
      <c r="O9" s="178"/>
      <c r="P9" s="106"/>
      <c r="Q9" s="106"/>
      <c r="R9" s="175"/>
    </row>
    <row r="10" spans="1:18" ht="15">
      <c r="A10" s="173"/>
      <c r="B10" s="106"/>
      <c r="C10" s="23" t="s">
        <v>64</v>
      </c>
      <c r="D10" s="29" t="s">
        <v>19</v>
      </c>
      <c r="E10" s="30" t="s">
        <v>19</v>
      </c>
      <c r="F10" s="31" t="s">
        <v>19</v>
      </c>
      <c r="G10" s="28" t="s">
        <v>19</v>
      </c>
      <c r="H10" s="106"/>
      <c r="I10" s="106"/>
      <c r="J10" s="106"/>
      <c r="K10" s="106"/>
      <c r="L10" s="177"/>
      <c r="M10" s="177"/>
      <c r="N10" s="177"/>
      <c r="O10" s="178"/>
      <c r="P10" s="106"/>
      <c r="Q10" s="106"/>
      <c r="R10" s="175"/>
    </row>
    <row r="11" spans="1:18" ht="15">
      <c r="A11" s="173"/>
      <c r="B11" s="106"/>
      <c r="C11" s="23" t="s">
        <v>65</v>
      </c>
      <c r="D11" s="29" t="s">
        <v>19</v>
      </c>
      <c r="E11" s="30" t="s">
        <v>19</v>
      </c>
      <c r="F11" s="31" t="s">
        <v>19</v>
      </c>
      <c r="G11" s="28" t="s">
        <v>19</v>
      </c>
      <c r="H11" s="106"/>
      <c r="I11" s="179"/>
      <c r="J11" s="106"/>
      <c r="K11" s="180"/>
      <c r="L11" s="180"/>
      <c r="M11" s="177"/>
      <c r="N11" s="177"/>
      <c r="O11" s="105"/>
      <c r="P11" s="106"/>
      <c r="Q11" s="106"/>
      <c r="R11" s="175"/>
    </row>
    <row r="12" spans="1:18" ht="15.75" thickBot="1">
      <c r="A12" s="173"/>
      <c r="B12" s="106"/>
      <c r="C12" s="32" t="s">
        <v>65</v>
      </c>
      <c r="D12" s="33" t="s">
        <v>19</v>
      </c>
      <c r="E12" s="34" t="s">
        <v>19</v>
      </c>
      <c r="F12" s="35" t="s">
        <v>19</v>
      </c>
      <c r="G12" s="36" t="s">
        <v>19</v>
      </c>
      <c r="H12" s="106"/>
      <c r="I12" s="179"/>
      <c r="J12" s="106"/>
      <c r="K12" s="180"/>
      <c r="L12" s="180"/>
      <c r="M12" s="177"/>
      <c r="N12" s="177"/>
      <c r="O12" s="105"/>
      <c r="P12" s="106"/>
      <c r="Q12" s="106"/>
      <c r="R12" s="175"/>
    </row>
    <row r="13" spans="1:18" ht="15.75" thickBot="1">
      <c r="A13" s="173"/>
      <c r="B13" s="106"/>
      <c r="C13" s="37" t="s">
        <v>1</v>
      </c>
      <c r="D13" s="38">
        <f t="shared" ref="D13:F13" si="0">SUM(D7:D12)</f>
        <v>366816</v>
      </c>
      <c r="E13" s="38">
        <f t="shared" si="0"/>
        <v>15499</v>
      </c>
      <c r="F13" s="39">
        <f t="shared" si="0"/>
        <v>14396629.93</v>
      </c>
      <c r="G13" s="40">
        <f>SUM(G7:G12)</f>
        <v>20998237604.920002</v>
      </c>
      <c r="H13" s="106"/>
      <c r="I13" s="179"/>
      <c r="J13" s="106"/>
      <c r="K13" s="180"/>
      <c r="L13" s="180"/>
      <c r="M13" s="177"/>
      <c r="N13" s="177"/>
      <c r="O13" s="105"/>
      <c r="P13" s="106"/>
      <c r="Q13" s="106"/>
      <c r="R13" s="175"/>
    </row>
    <row r="14" spans="1:18">
      <c r="A14" s="173"/>
      <c r="B14" s="106"/>
      <c r="C14" s="102"/>
      <c r="D14" s="106"/>
      <c r="E14" s="106"/>
      <c r="F14" s="106"/>
      <c r="G14" s="106"/>
      <c r="H14" s="106"/>
      <c r="I14" s="106"/>
      <c r="J14" s="106"/>
      <c r="K14" s="106"/>
      <c r="L14" s="106"/>
      <c r="M14" s="177"/>
      <c r="N14" s="177"/>
      <c r="O14" s="106"/>
      <c r="P14" s="106"/>
      <c r="Q14" s="106"/>
      <c r="R14" s="175"/>
    </row>
    <row r="15" spans="1:18">
      <c r="A15" s="173"/>
      <c r="B15" s="106"/>
      <c r="C15" s="106"/>
      <c r="D15" s="106"/>
      <c r="E15" s="106"/>
      <c r="F15" s="106"/>
      <c r="G15" s="106"/>
      <c r="H15" s="106"/>
      <c r="I15" s="106"/>
      <c r="J15" s="106"/>
      <c r="K15" s="106"/>
      <c r="L15" s="177"/>
      <c r="M15" s="177"/>
      <c r="N15" s="177"/>
      <c r="O15" s="106"/>
      <c r="P15" s="106"/>
      <c r="Q15" s="106"/>
      <c r="R15" s="175"/>
    </row>
    <row r="16" spans="1:18">
      <c r="A16" s="173"/>
      <c r="B16" s="106"/>
      <c r="C16" s="106"/>
      <c r="D16" s="106"/>
      <c r="E16" s="106"/>
      <c r="F16" s="106"/>
      <c r="G16" s="106"/>
      <c r="H16" s="106"/>
      <c r="I16" s="106"/>
      <c r="J16" s="106"/>
      <c r="K16" s="106"/>
      <c r="L16" s="106"/>
      <c r="M16" s="106"/>
      <c r="N16" s="106"/>
      <c r="O16" s="106"/>
      <c r="P16" s="106"/>
      <c r="Q16" s="106"/>
      <c r="R16" s="175"/>
    </row>
    <row r="17" spans="1:21">
      <c r="A17" s="173"/>
      <c r="B17" s="106"/>
      <c r="C17" s="106"/>
      <c r="D17" s="106"/>
      <c r="E17" s="106"/>
      <c r="F17" s="106"/>
      <c r="G17" s="106"/>
      <c r="H17" s="106"/>
      <c r="I17" s="106"/>
      <c r="J17" s="106"/>
      <c r="K17" s="106"/>
      <c r="L17" s="106"/>
      <c r="M17" s="106"/>
      <c r="N17" s="106"/>
      <c r="O17" s="106"/>
      <c r="P17" s="106"/>
      <c r="Q17" s="106"/>
      <c r="R17" s="175"/>
    </row>
    <row r="18" spans="1:21" ht="19.5">
      <c r="A18" s="173"/>
      <c r="B18" s="41" t="s">
        <v>10</v>
      </c>
      <c r="C18" s="41"/>
      <c r="D18" s="41"/>
      <c r="E18" s="41"/>
      <c r="F18" s="41"/>
      <c r="G18" s="41"/>
      <c r="H18" s="41"/>
      <c r="I18" s="106"/>
      <c r="J18" s="41"/>
      <c r="K18" s="41"/>
      <c r="L18" s="41"/>
      <c r="M18" s="41"/>
      <c r="N18" s="41"/>
      <c r="O18" s="41"/>
      <c r="P18" s="41"/>
      <c r="Q18" s="41"/>
      <c r="R18" s="175"/>
    </row>
    <row r="19" spans="1:21" ht="15.75" thickBot="1">
      <c r="A19" s="173"/>
      <c r="B19" s="181"/>
      <c r="C19" s="181"/>
      <c r="D19" s="181"/>
      <c r="E19" s="181"/>
      <c r="G19" s="211"/>
      <c r="H19" s="211"/>
      <c r="I19" s="10"/>
      <c r="J19" s="182"/>
      <c r="K19" s="182"/>
      <c r="L19" s="10"/>
      <c r="M19" s="10"/>
      <c r="N19" s="10"/>
      <c r="P19" s="211"/>
      <c r="Q19" s="211"/>
      <c r="R19" s="175"/>
    </row>
    <row r="20" spans="1:21" ht="60.75" thickBot="1">
      <c r="A20" s="173"/>
      <c r="B20" s="109" t="s">
        <v>66</v>
      </c>
      <c r="C20" s="199" t="s">
        <v>4</v>
      </c>
      <c r="D20" s="49" t="s">
        <v>22</v>
      </c>
      <c r="E20" s="183" t="s">
        <v>33</v>
      </c>
      <c r="F20" s="45" t="s">
        <v>57</v>
      </c>
      <c r="G20" s="46" t="s">
        <v>42</v>
      </c>
      <c r="H20" s="47" t="s">
        <v>43</v>
      </c>
      <c r="I20" s="48" t="s">
        <v>23</v>
      </c>
      <c r="J20" s="49" t="s">
        <v>21</v>
      </c>
      <c r="K20" s="50" t="s">
        <v>20</v>
      </c>
      <c r="L20" s="147" t="s">
        <v>69</v>
      </c>
      <c r="M20" s="45" t="s">
        <v>70</v>
      </c>
      <c r="N20" s="46" t="s">
        <v>30</v>
      </c>
      <c r="O20" s="46" t="s">
        <v>31</v>
      </c>
      <c r="P20" s="46" t="s">
        <v>44</v>
      </c>
      <c r="Q20" s="47" t="s">
        <v>45</v>
      </c>
      <c r="R20" s="175"/>
    </row>
    <row r="21" spans="1:21" ht="15">
      <c r="A21" s="173"/>
      <c r="B21" s="23" t="s">
        <v>61</v>
      </c>
      <c r="C21" s="200">
        <f>convA/visitorsA</f>
        <v>4.2109051646571895E-2</v>
      </c>
      <c r="D21" s="184">
        <f>SQRT(CR_A*(1-CR_A))</f>
        <v>0.20083794316811313</v>
      </c>
      <c r="E21" s="185">
        <f>IF(ISERROR(stdevA/SQRT(visitorsA)),"-",stdevA/SQRT(visitorsA))</f>
        <v>5.7439972882378449E-4</v>
      </c>
      <c r="F21" s="53">
        <f>t_value*(stdevA/SQRT(visitorsA))</f>
        <v>1.125802781224191E-3</v>
      </c>
      <c r="G21" s="54">
        <f>CR_A-CI_A</f>
        <v>4.0983248865347703E-2</v>
      </c>
      <c r="H21" s="55">
        <f>CR_A+CI_A</f>
        <v>4.3234854427796086E-2</v>
      </c>
      <c r="I21" s="56" t="s">
        <v>19</v>
      </c>
      <c r="J21" s="57" t="s">
        <v>19</v>
      </c>
      <c r="K21" s="58" t="s">
        <v>19</v>
      </c>
      <c r="L21" s="149" t="s">
        <v>19</v>
      </c>
      <c r="M21" s="150" t="s">
        <v>19</v>
      </c>
      <c r="N21" s="59" t="s">
        <v>19</v>
      </c>
      <c r="O21" s="59" t="s">
        <v>19</v>
      </c>
      <c r="P21" s="60" t="s">
        <v>19</v>
      </c>
      <c r="Q21" s="61" t="s">
        <v>19</v>
      </c>
      <c r="R21" s="175"/>
    </row>
    <row r="22" spans="1:21" ht="15">
      <c r="A22" s="173"/>
      <c r="B22" s="23" t="s">
        <v>62</v>
      </c>
      <c r="C22" s="201">
        <f>convB/visitorsB</f>
        <v>4.1048713648819991E-2</v>
      </c>
      <c r="D22" s="186">
        <f>SQRT(CR_B*(1-CR_B))</f>
        <v>0.1984029151917813</v>
      </c>
      <c r="E22" s="187">
        <f>stdevB/SQRT(visitorsB)</f>
        <v>5.6745639754236668E-4</v>
      </c>
      <c r="F22" s="64">
        <f>t_value*(stdevB/SQRT(visitorsB))</f>
        <v>1.1121941019798817E-3</v>
      </c>
      <c r="G22" s="65">
        <f>CR_B-CI_B</f>
        <v>3.9936519546840112E-2</v>
      </c>
      <c r="H22" s="66">
        <f>CR_B+CI_B</f>
        <v>4.2160907750799871E-2</v>
      </c>
      <c r="I22" s="67">
        <f>SQRT(stdevB^2/visitorsB+stdevA^2/visitorsA)</f>
        <v>8.0742913719074924E-4</v>
      </c>
      <c r="J22" s="68">
        <f>(CR_B-CR_A)/SE_BminusA</f>
        <v>-1.3132273148342011</v>
      </c>
      <c r="K22" s="69">
        <f>visitorsA+visitorsB-2</f>
        <v>244497</v>
      </c>
      <c r="L22" s="152">
        <f>1-_xlfn.T.DIST.2T(ABS(SignalNoiseB),DOF_B)</f>
        <v>0.81089240514747751</v>
      </c>
      <c r="M22" s="153">
        <f>(CR_B-CR_A)/CR_A</f>
        <v>-2.5180761767125328E-2</v>
      </c>
      <c r="N22" s="70">
        <f>((CR_B/CR_A)^2)*((SE_A_Squared^2)/(CR_A^2)+(SE_B_Squared^2)/(CR_B^2))</f>
        <v>3.584169496262256E-4</v>
      </c>
      <c r="O22" s="71">
        <f>t_value*SQRT(Lift_Var_B)</f>
        <v>3.7105847957268755E-2</v>
      </c>
      <c r="P22" s="71">
        <f>LiftB-t_value*SQRT(Lift_Var_B)</f>
        <v>-6.2286609724394079E-2</v>
      </c>
      <c r="Q22" s="72">
        <f>LiftB+t_value*SQRT(Lift_Var_B)</f>
        <v>1.1925086190143427E-2</v>
      </c>
      <c r="R22" s="175"/>
    </row>
    <row r="23" spans="1:21" ht="15">
      <c r="A23" s="173"/>
      <c r="B23" s="23" t="s">
        <v>63</v>
      </c>
      <c r="C23" s="201">
        <f>IF(ISERROR(convC/visitorsC),"-",convC/visitorsC)</f>
        <v>4.3599826679856436E-2</v>
      </c>
      <c r="D23" s="186">
        <f>IF(ISERROR(SQRT(CR_C*(1-CR_C))),"-",SQRT(CR_C*(1-CR_C)))</f>
        <v>0.20420304060748684</v>
      </c>
      <c r="E23" s="187">
        <f>IF(ISERROR(stdevC/SQRT(visitorsC)),"-",stdevC/SQRT(visitorsC))</f>
        <v>5.838735396637185E-4</v>
      </c>
      <c r="F23" s="73">
        <f>IF(ISERROR(t_value*(stdevC/SQRT(visitorsC))),"-",t_value*(stdevC/SQRT(visitorsC)))</f>
        <v>1.1443711092668067E-3</v>
      </c>
      <c r="G23" s="74">
        <f>IF(ISERROR(CR_C-CI_C),"-",CR_C-CI_C)</f>
        <v>4.2455455570589627E-2</v>
      </c>
      <c r="H23" s="75">
        <f>IF(ISERROR(CR_C+CI_C),"-",CR_C+CI_C)</f>
        <v>4.4744197789123245E-2</v>
      </c>
      <c r="I23" s="67">
        <f>IF(ISERROR(SQRT(stdevC^2/visitorsC+stdevA^2/visitorsA)),"-",SQRT(stdevC^2/visitorsC+stdevA^2/visitorsA))</f>
        <v>8.1905027854966086E-4</v>
      </c>
      <c r="J23" s="68">
        <f>IF(ISERROR((CR_C-CR_A)/SE_CminusA),"-",(CR_C-CR_A)/SE_CminusA)</f>
        <v>1.8201263980086082</v>
      </c>
      <c r="K23" s="69">
        <f>IF(ISERROR(visitorsA+visitorsC-2),"-",visitorsA+visitorsC-2)</f>
        <v>244569</v>
      </c>
      <c r="L23" s="154">
        <f>IF(ISERROR(1-_xlfn.T.DIST.2T(ABS(SignalNoiseC),DOF_C)),"-",1-_xlfn.T.DIST.2T(ABS(SignalNoiseC),DOF_C))</f>
        <v>0.93125901990277626</v>
      </c>
      <c r="M23" s="80">
        <f>IF(ISERROR((CR_C-CR_A)/CR_A),"-",(CR_C-CR_A)/CR_A)</f>
        <v>3.5402721623770068E-2</v>
      </c>
      <c r="N23" s="76">
        <f>IF(ISERROR(((CR_C/CR_A)^2)*((SE_A_Squared^2)/(CR_A^2)+(SE_C_Squared^2)/(CR_C^2))),"-",((CR_C/CR_A)^2)*((SE_A_Squared^2)/(CR_A^2)+(SE_C_Squared^2)/(CR_C^2)))</f>
        <v>3.9173751378954392E-4</v>
      </c>
      <c r="O23" s="77">
        <f>IF(ISERROR(t_value*SQRT(Lift_Var_C)),"-",t_value*SQRT(Lift_Var_C))</f>
        <v>3.8792312740330778E-2</v>
      </c>
      <c r="P23" s="77">
        <f>IF(ISERROR(LiftC-t_value*SQRT(Lift_Var_C)),"-",LiftC-t_value*SQRT(Lift_Var_C))</f>
        <v>-3.3895911165607098E-3</v>
      </c>
      <c r="Q23" s="78">
        <f>IF(ISERROR(LiftC+t_value*SQRT(Lift_Var_C)),"-",LiftC+t_value*SQRT(Lift_Var_C))</f>
        <v>7.4195034364100854E-2</v>
      </c>
      <c r="R23" s="175"/>
    </row>
    <row r="24" spans="1:21" ht="15">
      <c r="A24" s="173"/>
      <c r="B24" s="23" t="s">
        <v>64</v>
      </c>
      <c r="C24" s="201" t="str">
        <f>IF(ISERROR(convD/visitorsD),"-",convD/visitorsD)</f>
        <v>-</v>
      </c>
      <c r="D24" s="186" t="str">
        <f>IF(ISERROR(SQRT(CR_D*(1-CR_D))),"-",SQRT(CR_D*(1-CR_D)))</f>
        <v>-</v>
      </c>
      <c r="E24" s="185" t="str">
        <f>IF(ISERROR(stdevD/SQRT(visitorsD)),"-",stdevD/SQRT(visitorsD))</f>
        <v>-</v>
      </c>
      <c r="F24" s="80" t="str">
        <f>IF(ISERROR(t_value*(stdevD/SQRT(visitorsD))),"-",t_value*(stdevD/SQRT(visitorsD)))</f>
        <v>-</v>
      </c>
      <c r="G24" s="74" t="str">
        <f>IF(ISERROR(CR_D-CI_D),"-",CR_D-CI_D)</f>
        <v>-</v>
      </c>
      <c r="H24" s="75" t="str">
        <f>IF(ISERROR(CR_D+CI_D),"-",CR_D+CI_D)</f>
        <v>-</v>
      </c>
      <c r="I24" s="81" t="str">
        <f>IF(ISERROR(SQRT(stdevD^2/visitorsD+stdevA^2/visitorsA)),"-",SQRT(stdevD^2/visitorsD+stdevA^2/visitorsA))</f>
        <v>-</v>
      </c>
      <c r="J24" s="68" t="str">
        <f>IF(ISERROR((CR_D-CR_A)/SE_DminusA),"-",(CR_D-CR_A)/SE_DminusA)</f>
        <v>-</v>
      </c>
      <c r="K24" s="69" t="str">
        <f>IF(ISERROR(visitorsA+visitorsD-2),"-",visitorsA+visitorsD-2)</f>
        <v>-</v>
      </c>
      <c r="L24" s="154" t="str">
        <f>IF(ISERROR(1-_xlfn.T.DIST.2T(ABS(SignalNoiseD),DOF_D)),"-",1-_xlfn.T.DIST.2T(ABS(SignalNoiseD),DOF_D))</f>
        <v>-</v>
      </c>
      <c r="M24" s="80" t="str">
        <f>IF(ISERROR((CR_D-CR_A)/CR_A),"-",(CR_D-CR_A)/CR_A)</f>
        <v>-</v>
      </c>
      <c r="N24" s="76" t="str">
        <f>IF(ISERROR(((CR_D/CR_A)^2)*((SE_A_Squared^2)/(CR_A^2)+(SE_D_Squared^2)/(CR_D^2))),"-",((CR_D/CR_A)^2)*((SE_A_Squared^2)/(CR_A^2)+(SE_D_Squared^2)/(CR_D^2)))</f>
        <v>-</v>
      </c>
      <c r="O24" s="77" t="str">
        <f>IF(ISERROR(t_value*SQRT(Lift_Var_D)),"-",t_value*SQRT(Lift_Var_D))</f>
        <v>-</v>
      </c>
      <c r="P24" s="77" t="str">
        <f>IF(ISERROR(LiftD-t_value*SQRT(Lift_Var_D)),"-",LiftD-t_value*SQRT(Lift_Var_D))</f>
        <v>-</v>
      </c>
      <c r="Q24" s="78" t="str">
        <f>IF(ISERROR(LiftD+t_value*SQRT(Lift_Var_D)),"-",LiftD+t_value*SQRT(Lift_Var_D))</f>
        <v>-</v>
      </c>
      <c r="R24" s="175"/>
    </row>
    <row r="25" spans="1:21" ht="15">
      <c r="A25" s="173"/>
      <c r="B25" s="23" t="s">
        <v>65</v>
      </c>
      <c r="C25" s="201" t="str">
        <f>IF(ISERROR(convE/visitorsE),"-",convE/visitorsE)</f>
        <v>-</v>
      </c>
      <c r="D25" s="186" t="str">
        <f>IF(ISERROR(SQRT(CR_E*(1-CR_E))),"-",SQRT(CR_E*(1-CR_E)))</f>
        <v>-</v>
      </c>
      <c r="E25" s="185" t="str">
        <f>IF(ISERROR(stdevE/SQRT(visitorsE)),"-",stdevE/SQRT(visitorsE))</f>
        <v>-</v>
      </c>
      <c r="F25" s="80" t="str">
        <f>IF(ISERROR(t_value*(stdevE/SQRT(visitorsE))),"-",t_value*(stdevE/SQRT(visitorsE)))</f>
        <v>-</v>
      </c>
      <c r="G25" s="74" t="str">
        <f>IF(ISERROR(CR_E-CI_E),"-",CR_E-CI_E)</f>
        <v>-</v>
      </c>
      <c r="H25" s="75" t="str">
        <f>IF(ISERROR(CR_E+CI_E),"-",CR_E+CI_E)</f>
        <v>-</v>
      </c>
      <c r="I25" s="81" t="str">
        <f>IF(ISERROR(SQRT(stdevE^2/visitorsE+stdevA^2/visitorsA)),"-",SQRT(stdevE^2/visitorsE+stdevA^2/visitorsA))</f>
        <v>-</v>
      </c>
      <c r="J25" s="68" t="str">
        <f>IF(ISERROR((CR_E-CR_A)/SE_EminusA),"-",(CR_E-CR_A)/SE_EminusA)</f>
        <v>-</v>
      </c>
      <c r="K25" s="69" t="str">
        <f>IF(ISERROR(visitorsA+visitorsE-2),"-",visitorsA+visitorsE-2)</f>
        <v>-</v>
      </c>
      <c r="L25" s="154" t="str">
        <f>IF(ISERROR(1-_xlfn.T.DIST.2T(ABS(SignalNoiseE),DOF_E)),"-",1-_xlfn.T.DIST.2T(ABS(SignalNoiseE),DOF_E))</f>
        <v>-</v>
      </c>
      <c r="M25" s="80" t="str">
        <f>IF(ISERROR((CR_E-CR_A)/CR_A),"-",(CR_E-CR_A)/CR_A)</f>
        <v>-</v>
      </c>
      <c r="N25" s="76" t="str">
        <f>IF(ISERROR(((CR_E/CR_A)^2)*((SE_A_Squared^2)/(CR_A^2)+(SE_E_Squared^2)/(CR_E^2))),"-",((CR_E/CR_A)^2)*((SE_A_Squared^2)/(CR_A^2)+(SE_E_Squared^2)/(CR_E^2)))</f>
        <v>-</v>
      </c>
      <c r="O25" s="77" t="str">
        <f>IF(ISERROR(t_value*SQRT(Lift_Var_E)),"-",t_value*SQRT(Lift_Var_E))</f>
        <v>-</v>
      </c>
      <c r="P25" s="77" t="str">
        <f>IF(ISERROR(LiftE-t_value*SQRT(Lift_Var_E)),"-",LiftE-t_value*SQRT(Lift_Var_E))</f>
        <v>-</v>
      </c>
      <c r="Q25" s="78" t="str">
        <f>IF(ISERROR(LiftE+t_value*SQRT(Lift_Var_E)),"-",LiftE+t_value*SQRT(Lift_Var_E))</f>
        <v>-</v>
      </c>
      <c r="R25" s="175"/>
    </row>
    <row r="26" spans="1:21" ht="15.75" thickBot="1">
      <c r="A26" s="173"/>
      <c r="B26" s="32" t="s">
        <v>65</v>
      </c>
      <c r="C26" s="202" t="str">
        <f>IF(ISERROR(convF/visitorsF),"-",convF/visitorsF)</f>
        <v>-</v>
      </c>
      <c r="D26" s="188" t="str">
        <f>IF(ISERROR(SQRT(CR_F*(1-CR_F))),"-",SQRT(CR_F*(1-CR_F)))</f>
        <v>-</v>
      </c>
      <c r="E26" s="185" t="str">
        <f>IF(ISERROR(stdevF/SQRT(visitorsF)),"-",stdevF/SQRT(visitorsF))</f>
        <v>-</v>
      </c>
      <c r="F26" s="83" t="str">
        <f>IF(ISERROR(t_value*(stdevF/SQRT(visitorsF))),"-",t_value*(stdevF/SQRT(visitorsF)))</f>
        <v>-</v>
      </c>
      <c r="G26" s="84" t="str">
        <f>IF(ISERROR(CR_E-CI_E),"-",CR_E-CI_E)</f>
        <v>-</v>
      </c>
      <c r="H26" s="85" t="str">
        <f>IF(ISERROR(CR_F+CI_F),"-",CR_F+CI_F)</f>
        <v>-</v>
      </c>
      <c r="I26" s="86" t="str">
        <f>IF(ISERROR(SQRT(stdevF^2/visitorsF+stdevA^2/visitorsA)),"-",SQRT(stdevF^2/visitorsF+stdevA^2/visitorsA))</f>
        <v>-</v>
      </c>
      <c r="J26" s="87" t="str">
        <f>IF(ISERROR((CR_F-CR_A)/SE_FminusA),"-",(CR_F-CR_A)/SE_FminusA)</f>
        <v>-</v>
      </c>
      <c r="K26" s="88" t="str">
        <f>IF(ISERROR(visitorsA+visitorsF-2),"-",visitorsA+visitorsF-2)</f>
        <v>-</v>
      </c>
      <c r="L26" s="156" t="str">
        <f>IF(ISERROR(1-_xlfn.T.DIST.2T(ABS(SignalNoiseF),DOF_F)),"-",1-_xlfn.T.DIST.2T(ABS(SignalNoiseF),DOF_F))</f>
        <v>-</v>
      </c>
      <c r="M26" s="83" t="str">
        <f>IF(ISERROR((CR_F-CR_A)/CR_A),"-",(CR_F-CR_A)/CR_A)</f>
        <v>-</v>
      </c>
      <c r="N26" s="89" t="str">
        <f>IF(ISERROR(((CR_F/CR_A)^2)*((SE_A_Squared^2)/(CR_A^2)+(SE_F_Squared^2)/(CR_F^2))),"-",((CR_F/CR_A)^2)*((SE_A_Squared^2)/(CR_A^2)+(SE_F_Squared^2)/(CR_F^2)))</f>
        <v>-</v>
      </c>
      <c r="O26" s="90" t="str">
        <f>IF(ISERROR(t_value*SQRT(Lift_Var_F)),"-",t_value*SQRT(Lift_Var_F))</f>
        <v>-</v>
      </c>
      <c r="P26" s="90" t="str">
        <f>IF(ISERROR(LiftF-t_value*SQRT(Lift_Var_F)),"-",LiftF-t_value*SQRT(Lift_Var_F))</f>
        <v>-</v>
      </c>
      <c r="Q26" s="91" t="str">
        <f>IF(ISERROR(LiftF+t_value*SQRT(Lift_Var_F)),"-",LiftF+t_value*SQRT(Lift_Var_F))</f>
        <v>-</v>
      </c>
      <c r="R26" s="175"/>
    </row>
    <row r="27" spans="1:21" ht="15.75" thickBot="1">
      <c r="A27" s="173"/>
      <c r="B27" s="92" t="str">
        <f>C13</f>
        <v>Campaign</v>
      </c>
      <c r="C27" s="97"/>
      <c r="D27" s="98"/>
      <c r="E27" s="158"/>
      <c r="F27" s="95"/>
      <c r="G27" s="93"/>
      <c r="H27" s="96"/>
      <c r="I27" s="97"/>
      <c r="J27" s="98"/>
      <c r="K27" s="98"/>
      <c r="L27" s="158"/>
      <c r="M27" s="95"/>
      <c r="N27" s="93"/>
      <c r="O27" s="99"/>
      <c r="P27" s="100"/>
      <c r="Q27" s="101"/>
      <c r="R27" s="175"/>
      <c r="U27" s="102"/>
    </row>
    <row r="28" spans="1:21" ht="15">
      <c r="A28" s="173"/>
      <c r="B28" s="102"/>
      <c r="C28" s="10"/>
      <c r="D28" s="10"/>
      <c r="E28" s="10"/>
      <c r="F28" s="10"/>
      <c r="G28" s="10"/>
      <c r="H28" s="10"/>
      <c r="I28" s="10"/>
      <c r="J28" s="10"/>
      <c r="K28" s="103"/>
      <c r="L28" s="10"/>
      <c r="M28" s="10"/>
      <c r="N28" s="10"/>
      <c r="O28" s="104"/>
      <c r="P28" s="105"/>
      <c r="Q28" s="10"/>
      <c r="R28" s="175"/>
      <c r="U28" s="102"/>
    </row>
    <row r="29" spans="1:21" ht="15">
      <c r="A29" s="173"/>
      <c r="B29" s="10"/>
      <c r="C29" s="10"/>
      <c r="D29" s="10"/>
      <c r="E29" s="10"/>
      <c r="F29" s="10"/>
      <c r="G29" s="10"/>
      <c r="H29" s="10"/>
      <c r="I29" s="10"/>
      <c r="J29" s="10"/>
      <c r="K29" s="10"/>
      <c r="L29" s="10"/>
      <c r="M29" s="10"/>
      <c r="N29" s="10"/>
      <c r="O29" s="10"/>
      <c r="P29" s="10"/>
      <c r="Q29" s="10"/>
      <c r="R29" s="175"/>
    </row>
    <row r="30" spans="1:21" ht="19.5">
      <c r="A30" s="173"/>
      <c r="B30" s="41" t="s">
        <v>32</v>
      </c>
      <c r="C30" s="106"/>
      <c r="D30" s="106"/>
      <c r="E30" s="106"/>
      <c r="F30" s="106"/>
      <c r="G30" s="106"/>
      <c r="H30" s="106"/>
      <c r="I30" s="106"/>
      <c r="J30" s="106"/>
      <c r="K30" s="106"/>
      <c r="L30" s="106"/>
      <c r="M30" s="106"/>
      <c r="N30" s="106"/>
      <c r="O30" s="106"/>
      <c r="P30" s="106"/>
      <c r="Q30" s="106"/>
      <c r="R30" s="175"/>
    </row>
    <row r="31" spans="1:21" ht="13.5" thickBot="1">
      <c r="A31" s="173"/>
      <c r="B31" s="107"/>
      <c r="C31" s="107"/>
      <c r="D31" s="107"/>
      <c r="E31" s="107"/>
      <c r="F31" s="107"/>
      <c r="G31" s="107"/>
      <c r="H31" s="107"/>
      <c r="I31" s="107"/>
      <c r="J31" s="189"/>
      <c r="K31" s="189"/>
      <c r="L31" s="106"/>
      <c r="M31" s="106"/>
      <c r="N31" s="106"/>
      <c r="O31" s="106"/>
      <c r="P31" s="189"/>
      <c r="Q31" s="189"/>
      <c r="R31" s="175"/>
    </row>
    <row r="32" spans="1:21" ht="60.75" thickBot="1">
      <c r="A32" s="173"/>
      <c r="B32" s="109" t="s">
        <v>66</v>
      </c>
      <c r="C32" s="48" t="s">
        <v>5</v>
      </c>
      <c r="D32" s="50" t="s">
        <v>36</v>
      </c>
      <c r="E32" s="147" t="s">
        <v>34</v>
      </c>
      <c r="F32" s="45" t="s">
        <v>29</v>
      </c>
      <c r="G32" s="46" t="s">
        <v>40</v>
      </c>
      <c r="H32" s="47" t="s">
        <v>41</v>
      </c>
      <c r="I32" s="48" t="s">
        <v>7</v>
      </c>
      <c r="J32" s="50" t="s">
        <v>0</v>
      </c>
      <c r="K32" s="110" t="s">
        <v>20</v>
      </c>
      <c r="L32" s="147" t="s">
        <v>69</v>
      </c>
      <c r="M32" s="45" t="s">
        <v>70</v>
      </c>
      <c r="N32" s="46" t="s">
        <v>27</v>
      </c>
      <c r="O32" s="46" t="s">
        <v>28</v>
      </c>
      <c r="P32" s="46" t="s">
        <v>46</v>
      </c>
      <c r="Q32" s="47" t="s">
        <v>47</v>
      </c>
      <c r="R32" s="175"/>
    </row>
    <row r="33" spans="1:18" ht="15">
      <c r="A33" s="173"/>
      <c r="B33" s="23" t="s">
        <v>61</v>
      </c>
      <c r="C33" s="203">
        <f>SalesA/visitorsA</f>
        <v>39.122409655307806</v>
      </c>
      <c r="D33" s="190">
        <f>SQRT(Sum_Sq_A/visitorsA-(SalesA/visitorsA)^2)</f>
        <v>235.87095198901508</v>
      </c>
      <c r="E33" s="191">
        <f>st_dev_revA/SQRT(visitorsA)</f>
        <v>0.67459469422314255</v>
      </c>
      <c r="F33" s="113">
        <f>t_value*SErevA</f>
        <v>1.3221813048391695</v>
      </c>
      <c r="G33" s="114">
        <f>RevPerVisitorA-ConfRangeArev</f>
        <v>37.800228350468636</v>
      </c>
      <c r="H33" s="115">
        <f>RevPerVisitorA+ConfRangeArev</f>
        <v>40.444590960146975</v>
      </c>
      <c r="I33" s="116" t="s">
        <v>19</v>
      </c>
      <c r="J33" s="57" t="s">
        <v>19</v>
      </c>
      <c r="K33" s="117" t="s">
        <v>19</v>
      </c>
      <c r="L33" s="160" t="s">
        <v>19</v>
      </c>
      <c r="M33" s="150" t="s">
        <v>19</v>
      </c>
      <c r="N33" s="60" t="s">
        <v>19</v>
      </c>
      <c r="O33" s="60" t="s">
        <v>19</v>
      </c>
      <c r="P33" s="60" t="s">
        <v>19</v>
      </c>
      <c r="Q33" s="61" t="s">
        <v>19</v>
      </c>
      <c r="R33" s="175"/>
    </row>
    <row r="34" spans="1:18" ht="15">
      <c r="A34" s="173"/>
      <c r="B34" s="23" t="s">
        <v>62</v>
      </c>
      <c r="C34" s="204">
        <f>SalesB/visitorsB</f>
        <v>37.363024990797172</v>
      </c>
      <c r="D34" s="192">
        <f>SQRT(Sum_Sq_B/visitorsB-(SalesB/visitorsB)^2)</f>
        <v>228.40933177557798</v>
      </c>
      <c r="E34" s="193">
        <f>st_dev_revB/SQRT(visitorsB)</f>
        <v>0.65327838781573411</v>
      </c>
      <c r="F34" s="113">
        <f>t_value*SErevB</f>
        <v>1.2804021119972286</v>
      </c>
      <c r="G34" s="114">
        <f>RevPerVisitorB-ConfRangeBrev</f>
        <v>36.082622878799945</v>
      </c>
      <c r="H34" s="115">
        <f>RevPerVisitorB+ConfRangeBrev</f>
        <v>38.643427102794398</v>
      </c>
      <c r="I34" s="120">
        <f>SQRT(POWER(st_dev_revA,2)/visitorsA+(POWER(st_dev_revB,2)/visitorsB))</f>
        <v>0.93906903551397114</v>
      </c>
      <c r="J34" s="68">
        <f>(RevPerVisitorB-RevPerVisitorA)/SEdiffBrev</f>
        <v>-1.8735413457091445</v>
      </c>
      <c r="K34" s="121">
        <f>visitorsA+visitorsB-2</f>
        <v>244497</v>
      </c>
      <c r="L34" s="152">
        <f>1-_xlfn.T.DIST.2T(ABS(signal_noiseBrev),DOF_B)</f>
        <v>0.93900513917965267</v>
      </c>
      <c r="M34" s="153">
        <f>(RevPerVisitorB-RevPerVisitorA)/RevPerVisitorA</f>
        <v>-4.4971275542889141E-2</v>
      </c>
      <c r="N34" s="65">
        <f>((RevPerVisitorB/RevPerVisitorA)^2)*((SErevA*SErevA)/(RevPerVisitorA^2)+(SErevB*SErevB)/(RevPerVisitorB^2))</f>
        <v>5.500199393597997E-4</v>
      </c>
      <c r="O34" s="65">
        <f>t_value*SQRT(RevLiftVarB)</f>
        <v>4.5966062998818481E-2</v>
      </c>
      <c r="P34" s="65">
        <f>RevLiftB-RevLiftCIRangeB</f>
        <v>-9.093733854170763E-2</v>
      </c>
      <c r="Q34" s="66">
        <f>RevLiftB+RevLiftCIRangeB</f>
        <v>9.9478745592933987E-4</v>
      </c>
      <c r="R34" s="175"/>
    </row>
    <row r="35" spans="1:18" ht="15">
      <c r="A35" s="173"/>
      <c r="B35" s="23" t="s">
        <v>63</v>
      </c>
      <c r="C35" s="204">
        <f>IF(ISERROR(SalesC/visitorsC),"-",SalesC/visitorsC)</f>
        <v>41.256046747385895</v>
      </c>
      <c r="D35" s="192">
        <f>IF(ISERROR(SQRT(Sum_Sq_C/visitorsC-(SalesC/visitorsC)^2)),"-",SQRT(Sum_Sq_C/visitorsC-(SalesC/visitorsC)^2))</f>
        <v>243.50988766299611</v>
      </c>
      <c r="E35" s="193">
        <f>IF(ISERROR(st_dev_revC/SQRT(visitorsC)),"-",st_dev_revC/SQRT(visitorsC))</f>
        <v>0.69626279623426524</v>
      </c>
      <c r="F35" s="122">
        <f>IF(ISERROR(t_value*SErevC),"-",t_value*SErevC)</f>
        <v>1.3646500043943099</v>
      </c>
      <c r="G35" s="123">
        <f>IF(ISERROR(RevPerVisitorC-ConfRangeCrev),"-",RevPerVisitorC-ConfRangeCrev)</f>
        <v>39.891396742991589</v>
      </c>
      <c r="H35" s="124">
        <f>IF(ISERROR(RevPerVisitorC+ConfRangeCrev),"-",RevPerVisitorC+ConfRangeCrev)</f>
        <v>42.620696751780201</v>
      </c>
      <c r="I35" s="120">
        <f>IF(ISERROR(SQRT(POWER(st_dev_revA,2)/visitorsA+(POWER(st_dev_revC,2)/visitorsC))),"-",SQRT(POWER(st_dev_revA,2)/visitorsA+(POWER(st_dev_revC,2)/visitorsC)))</f>
        <v>0.96946370891022682</v>
      </c>
      <c r="J35" s="68">
        <f>IF(ISERROR((RevPerVisitorC-RevPerVisitorA)/SEdiffCrev),"-",(RevPerVisitorC-RevPerVisitorA)/SEdiffCrev)</f>
        <v>2.2008426643185115</v>
      </c>
      <c r="K35" s="125">
        <f>IF(ISERROR(visitorsA+visitorsC-2),"-",visitorsA+visitorsC-2)</f>
        <v>244569</v>
      </c>
      <c r="L35" s="154">
        <f>IF(ISERROR(1-_xlfn.T.DIST.2T(ABS(signal_noiseCrev),DOF_C)),"-",1-_xlfn.T.DIST.2T(ABS(signal_noiseCrev),DOF_C))</f>
        <v>0.9722519049070919</v>
      </c>
      <c r="M35" s="80">
        <f>IF(ISERROR((RevPerVisitorC-RevPerVisitorA)/RevPerVisitorA),"-",(RevPerVisitorC-RevPerVisitorA)/RevPerVisitorA)</f>
        <v>5.4537466144767878E-2</v>
      </c>
      <c r="N35" s="74">
        <f>IF(ISERROR(((RevPerVisitorC/RevPerVisitorA)^2)*((SErevA*SErevA)/(RevPerVisitorA^2)+(SErevB*SErevC)/(RevPerVisitorC^2))),"-",((RevPerVisitorC/RevPerVisitorA)^2)*((SErevA*SErevA)/(RevPerVisitorA^2)+(SErevC*SErevC)/(RevPerVisitorC^2)))</f>
        <v>6.4737686736627349E-4</v>
      </c>
      <c r="O35" s="74">
        <f>IF(ISERROR(t_value*SQRT(RevLiftVarC)),"-",t_value*SQRT(RevLiftVarC))</f>
        <v>4.9868542965054642E-2</v>
      </c>
      <c r="P35" s="74">
        <f>IF(ISERROR(RevLiftC-RevLiftCIRangeC),"-",RevLiftC-RevLiftCIRangeC)</f>
        <v>4.6689231797132358E-3</v>
      </c>
      <c r="Q35" s="75">
        <f>IF(ISERROR(RevLiftC+RevLiftCIRangeC),"-",RevLiftC+RevLiftCIRangeC)</f>
        <v>0.10440600910982252</v>
      </c>
      <c r="R35" s="175"/>
    </row>
    <row r="36" spans="1:18" ht="15">
      <c r="A36" s="173"/>
      <c r="B36" s="23" t="s">
        <v>64</v>
      </c>
      <c r="C36" s="204" t="str">
        <f>IF(ISERROR(SalesD/visitorsD),"-",SalesD/visitorsD)</f>
        <v>-</v>
      </c>
      <c r="D36" s="192" t="str">
        <f>IF(ISERROR(SQRT(Sum_Sq_D/visitorsD-(SalesD/visitorsD)^2)),"-",SQRT(Sum_Sq_D/visitorsD-(SalesD/visitorsD)^2))</f>
        <v>-</v>
      </c>
      <c r="E36" s="193" t="str">
        <f>IF(ISERROR(st_dev_revD/SQRT(visitorsD)),"-",st_dev_revD/SQRT(visitorsD))</f>
        <v>-</v>
      </c>
      <c r="F36" s="122" t="str">
        <f>IF(ISERROR(t_value*SErevD),"-",t_value*SErevD)</f>
        <v>-</v>
      </c>
      <c r="G36" s="123" t="str">
        <f>IF(ISERROR(RevPerVisitorD-ConfRangeDrev),"-",RevPerVisitorD-ConfRangeDrev)</f>
        <v>-</v>
      </c>
      <c r="H36" s="124" t="str">
        <f>IF(ISERROR(RevPerVisitorD+ConfRangeDrev),"-",RevPerVisitorD+ConfRangeDrev)</f>
        <v>-</v>
      </c>
      <c r="I36" s="120" t="str">
        <f>IF(ISERROR(SQRT(POWER(st_dev_revA,2)/visitorsA+(POWER(st_dev_revD,2)/visitorsD))),"-",SQRT(POWER(st_dev_revA,2)/visitorsA+(POWER(st_dev_revD,2)/visitorsD)))</f>
        <v>-</v>
      </c>
      <c r="J36" s="68" t="str">
        <f>IF(ISERROR((RevPerVisitorD-RevPerVisitorA)/SEdiffDrev),"-",(RevPerVisitorD-RevPerVisitorA)/SEdiffDrev)</f>
        <v>-</v>
      </c>
      <c r="K36" s="125" t="str">
        <f>IF(ISERROR(visitorsA+visitorsD-2),"-",visitorsA+visitorsD-2)</f>
        <v>-</v>
      </c>
      <c r="L36" s="154" t="str">
        <f>IF(ISERROR(1-_xlfn.T.DIST.2T(ABS(signal_noiseDrev),DOF_D)),"-",1-_xlfn.T.DIST.2T(ABS(signal_noiseDrev),DOF_D))</f>
        <v>-</v>
      </c>
      <c r="M36" s="80" t="str">
        <f>IF(ISERROR((RevPerVisitorD-RevPerVisitorA)/RevPerVisitorA),"-",(RevPerVisitorD-RevPerVisitorA)/RevPerVisitorA)</f>
        <v>-</v>
      </c>
      <c r="N36" s="74" t="str">
        <f>IF(ISERROR(((RevPerVisitorD/RevPerVisitorA)^2)*((SErevA*SErevA)/(RevPerVisitorA^2)+(SErevD*SErevD)/(RevPerVisitorD^2))),"-",((RevPerVisitorD/RevPerVisitorA)^2)*((SErevA*SErevA)/(RevPerVisitorA^2)+(SErevD*SErevD)/(RevPerVisitorD^2)))</f>
        <v>-</v>
      </c>
      <c r="O36" s="74" t="str">
        <f>IF(ISERROR(t_value*SQRT(RevLiftVarD)),"-",t_value*SQRT(RevLiftVarD))</f>
        <v>-</v>
      </c>
      <c r="P36" s="74" t="str">
        <f>IF(ISERROR(RevLiftD-RevLiftCIRangeD),"-",RevLiftD-RevLiftCIRangeD)</f>
        <v>-</v>
      </c>
      <c r="Q36" s="75" t="str">
        <f>IF(ISERROR(RevLiftD+RevLiftCIRangeD),"-",RevLiftD+RevLiftCIRangeD)</f>
        <v>-</v>
      </c>
      <c r="R36" s="175"/>
    </row>
    <row r="37" spans="1:18" ht="15">
      <c r="A37" s="173"/>
      <c r="B37" s="23" t="s">
        <v>65</v>
      </c>
      <c r="C37" s="204" t="str">
        <f>IF(ISERROR(SalesE/visitorsE),"-",SalesE/visitorsE)</f>
        <v>-</v>
      </c>
      <c r="D37" s="192" t="str">
        <f>IF(ISERROR(SQRT(Sum_Sq_E/visitorsE-(SalesE/visitorsE)^2)),"-",SQRT(Sum_Sq_E/visitorsE-(SalesE/visitorsE)^2))</f>
        <v>-</v>
      </c>
      <c r="E37" s="193" t="str">
        <f>IF(ISERROR(st_dev_revE/SQRT(visitorsE)),"-",st_dev_revE/SQRT(visitorsE))</f>
        <v>-</v>
      </c>
      <c r="F37" s="122" t="str">
        <f>IF(ISERROR(t_value*SErevE),"-",t_value*SErevE)</f>
        <v>-</v>
      </c>
      <c r="G37" s="123" t="str">
        <f>IF(ISERROR(RevPerVisitorE-ConfRangeErev),"-",RevPerVisitorE-ConfRangeErev)</f>
        <v>-</v>
      </c>
      <c r="H37" s="124" t="str">
        <f>IF(ISERROR(RevPerVisitorE+ConfRangeErev),"-",RevPerVisitorE+ConfRangeErev)</f>
        <v>-</v>
      </c>
      <c r="I37" s="120" t="str">
        <f>IF(ISERROR(SQRT(POWER(st_dev_revA,2)/visitorsA+(POWER(st_dev_revE,2)/visitorsE))),"-",SQRT(POWER(st_dev_revA,2)/visitorsA+(POWER(st_dev_revE,2)/visitorsE)))</f>
        <v>-</v>
      </c>
      <c r="J37" s="68" t="str">
        <f>IF(ISERROR((RevPerVisitorE-RevPerVisitorA)/SEdiffErev),"-",(RevPerVisitorE-RevPerVisitorA)/SEdiffErev)</f>
        <v>-</v>
      </c>
      <c r="K37" s="125" t="str">
        <f>IF(ISERROR(visitorsA+visitorsE-2),"-",visitorsA+visitorsE-2)</f>
        <v>-</v>
      </c>
      <c r="L37" s="154" t="str">
        <f>IF(ISERROR(1-_xlfn.T.DIST.2T(ABS(signal_noiseErev),DOF_E)),"-",1-_xlfn.T.DIST.2T(ABS(signal_noiseErev),DOF_E))</f>
        <v>-</v>
      </c>
      <c r="M37" s="80" t="str">
        <f>IF(ISERROR((RevPerVisitorE-RevPerVisitorA)/RevPerVisitorA),"-",(RevPerVisitorE-RevPerVisitorA)/RevPerVisitorA)</f>
        <v>-</v>
      </c>
      <c r="N37" s="74" t="str">
        <f>IF(ISERROR(((RevPerVisitorE/RevPerVisitorA)^2)*((SErevA*SErevA)/(RevPerVisitorA^2)+(SErevE*SErevE)/(RevPerVisitorE^2))),"-",((RevPerVisitorE/RevPerVisitorA)^2)*((SErevA*SErevA)/(RevPerVisitorA^2)+(SErevE*SErevE)/(RevPerVisitorE^2)))</f>
        <v>-</v>
      </c>
      <c r="O37" s="74" t="str">
        <f>IF(ISERROR(t_value*SQRT(RevLiftVarE)),"-",t_value*SQRT(RevLiftVarE))</f>
        <v>-</v>
      </c>
      <c r="P37" s="74" t="str">
        <f>IF(ISERROR(RevLiftE-RevLiftCIRangeE),"-",RevLiftE-RevLiftCIRangeE)</f>
        <v>-</v>
      </c>
      <c r="Q37" s="75" t="str">
        <f>IF(ISERROR(RevLiftE+RevLiftCIRangeE),"-",RevLiftE+RevLiftCIRangeE)</f>
        <v>-</v>
      </c>
      <c r="R37" s="175"/>
    </row>
    <row r="38" spans="1:18" ht="15.75" thickBot="1">
      <c r="A38" s="173"/>
      <c r="B38" s="32" t="s">
        <v>65</v>
      </c>
      <c r="C38" s="204" t="str">
        <f>IF(ISERROR(SalesF/visitorsF),"-",SalesF/visitorsF)</f>
        <v>-</v>
      </c>
      <c r="D38" s="192" t="str">
        <f>IF(ISERROR(SQRT(Sum_Sq_F/visitorsF-(SalesF/visitorsF)^2)),"-",SQRT(Sum_Sq_F/visitorsF-(SalesF/visitorsF)^2))</f>
        <v>-</v>
      </c>
      <c r="E38" s="193" t="str">
        <f>IF(ISERROR(st_dev_revF/SQRT(visitorsF)),"-",st_dev_revF/SQRT(visitorsF))</f>
        <v>-</v>
      </c>
      <c r="F38" s="122" t="str">
        <f>IF(ISERROR(t_value*SErevF),"-",t_value*SErevF)</f>
        <v>-</v>
      </c>
      <c r="G38" s="123" t="str">
        <f>IF(ISERROR(RevPerVisitorF-ConfRangeFrev),"-",RevPerVisitorF-ConfRangeFrev)</f>
        <v>-</v>
      </c>
      <c r="H38" s="124" t="str">
        <f>IF(ISERROR(RevPerVisitorF+ConfRangeFrev),"-",RevPerVisitorF+ConfRangeFrev)</f>
        <v>-</v>
      </c>
      <c r="I38" s="120" t="str">
        <f>IF(ISERROR(SQRT(POWER(st_dev_revA,2)/visitorsA+(POWER(st_dev_revF,2)/visitorsF))),"-",SQRT(POWER(st_dev_revA,2)/visitorsA+(POWER(st_dev_revF,2)/visitorsF)))</f>
        <v>-</v>
      </c>
      <c r="J38" s="68" t="str">
        <f>IF(ISERROR((RevPerVisitorF-RevPerVisitorA)/SEdiffFrev),"-",(RevPerVisitorF-RevPerVisitorA)/SEdiffFrev)</f>
        <v>-</v>
      </c>
      <c r="K38" s="125" t="str">
        <f>IF(ISERROR(visitorsA+visitorsF-2),"-",visitorsA+visitorsF-2)</f>
        <v>-</v>
      </c>
      <c r="L38" s="154" t="str">
        <f>IF(ISERROR(1-_xlfn.T.DIST.2T(ABS(signal_noiseFrev),DOF_F)),"-",1-_xlfn.T.DIST.2T(ABS(signal_noiseFrev),DOF_F))</f>
        <v>-</v>
      </c>
      <c r="M38" s="80" t="str">
        <f>IF(ISERROR((RevPerVisitorF-RevPerVisitorA)/RevPerVisitorA),"-",(RevPerVisitorF-RevPerVisitorA)/RevPerVisitorA)</f>
        <v>-</v>
      </c>
      <c r="N38" s="74" t="str">
        <f>IF(ISERROR(((RevPerVisitorF/RevPerVisitorA)^2)*((SErevA*SErevA)/(RevPerVisitorA^2)+(SErevF*SErevF)/(RevPerVisitorF^2))),"-",((RevPerVisitorF/RevPerVisitorA)^2)*((SErevA*SErevA)/(RevPerVisitorA^2)+(SErevF*SErevF)/(RevPerVisitorF^2)))</f>
        <v>-</v>
      </c>
      <c r="O38" s="74" t="str">
        <f>IF(ISERROR(t_value*SQRT(RevLiftVarF)),"-",t_value*SQRT(RevLiftVarF))</f>
        <v>-</v>
      </c>
      <c r="P38" s="74" t="str">
        <f>IF(ISERROR(RevLiftF-RevLiftCIRangeF),"-",RevLiftF-RevLiftCIRangeF)</f>
        <v>-</v>
      </c>
      <c r="Q38" s="75" t="str">
        <f>IF(ISERROR(RevLiftF+RevLiftCIRangeF),"-",RevLiftF+RevLiftCIRangeF)</f>
        <v>-</v>
      </c>
      <c r="R38" s="175"/>
    </row>
    <row r="39" spans="1:18" ht="15.75" thickBot="1">
      <c r="A39" s="173"/>
      <c r="B39" s="127" t="s">
        <v>1</v>
      </c>
      <c r="C39" s="129"/>
      <c r="D39" s="98"/>
      <c r="E39" s="162"/>
      <c r="F39" s="95"/>
      <c r="G39" s="128"/>
      <c r="H39" s="96"/>
      <c r="I39" s="129"/>
      <c r="J39" s="98"/>
      <c r="K39" s="130"/>
      <c r="L39" s="162"/>
      <c r="M39" s="95"/>
      <c r="N39" s="93"/>
      <c r="O39" s="93"/>
      <c r="P39" s="93"/>
      <c r="Q39" s="96"/>
      <c r="R39" s="175"/>
    </row>
    <row r="40" spans="1:18">
      <c r="A40" s="173"/>
      <c r="B40" s="106"/>
      <c r="C40" s="106"/>
      <c r="D40" s="106"/>
      <c r="E40" s="106"/>
      <c r="F40" s="106"/>
      <c r="G40" s="106"/>
      <c r="H40" s="106"/>
      <c r="I40" s="106"/>
      <c r="J40" s="131"/>
      <c r="K40" s="106"/>
      <c r="L40" s="106"/>
      <c r="M40" s="106"/>
      <c r="N40" s="106"/>
      <c r="O40" s="106"/>
      <c r="P40" s="106"/>
      <c r="Q40" s="106"/>
      <c r="R40" s="175"/>
    </row>
    <row r="41" spans="1:18">
      <c r="A41" s="173"/>
      <c r="B41" s="106"/>
      <c r="C41" s="106"/>
      <c r="D41" s="106"/>
      <c r="E41" s="106"/>
      <c r="F41" s="106"/>
      <c r="G41" s="106"/>
      <c r="H41" s="106"/>
      <c r="I41" s="106"/>
      <c r="J41" s="106"/>
      <c r="K41" s="106"/>
      <c r="L41" s="106"/>
      <c r="M41" s="106"/>
      <c r="N41" s="106"/>
      <c r="O41" s="106"/>
      <c r="P41" s="106"/>
      <c r="Q41" s="106"/>
      <c r="R41" s="175"/>
    </row>
    <row r="42" spans="1:18" ht="19.5">
      <c r="A42" s="173"/>
      <c r="B42" s="210" t="s">
        <v>11</v>
      </c>
      <c r="C42" s="210"/>
      <c r="D42" s="210"/>
      <c r="E42" s="210"/>
      <c r="F42" s="210"/>
      <c r="G42" s="210"/>
      <c r="H42" s="210"/>
      <c r="I42" s="210"/>
      <c r="J42" s="210"/>
      <c r="K42" s="206"/>
      <c r="L42" s="206"/>
      <c r="M42" s="206"/>
      <c r="N42" s="206"/>
      <c r="O42" s="206"/>
      <c r="P42" s="206"/>
      <c r="Q42" s="206"/>
      <c r="R42" s="175"/>
    </row>
    <row r="43" spans="1:18" ht="13.5" thickBot="1">
      <c r="A43" s="173"/>
      <c r="B43" s="107"/>
      <c r="C43" s="107"/>
      <c r="D43" s="107"/>
      <c r="E43" s="107"/>
      <c r="F43" s="107"/>
      <c r="G43" s="107"/>
      <c r="H43" s="106"/>
      <c r="I43" s="106"/>
      <c r="J43" s="106"/>
      <c r="K43" s="107"/>
      <c r="L43" s="107"/>
      <c r="M43" s="189"/>
      <c r="N43" s="189"/>
      <c r="O43" s="106"/>
      <c r="P43" s="189"/>
      <c r="Q43" s="189"/>
      <c r="R43" s="175"/>
    </row>
    <row r="44" spans="1:18" ht="60.75" thickBot="1">
      <c r="A44" s="173"/>
      <c r="B44" s="132" t="s">
        <v>9</v>
      </c>
      <c r="C44" s="48" t="s">
        <v>12</v>
      </c>
      <c r="D44" s="50" t="s">
        <v>48</v>
      </c>
      <c r="E44" s="147" t="s">
        <v>49</v>
      </c>
      <c r="F44" s="45" t="s">
        <v>37</v>
      </c>
      <c r="G44" s="46" t="s">
        <v>38</v>
      </c>
      <c r="H44" s="47" t="s">
        <v>39</v>
      </c>
      <c r="I44" s="48" t="s">
        <v>7</v>
      </c>
      <c r="J44" s="50" t="s">
        <v>0</v>
      </c>
      <c r="K44" s="110" t="s">
        <v>20</v>
      </c>
      <c r="L44" s="147" t="s">
        <v>69</v>
      </c>
      <c r="M44" s="45" t="s">
        <v>70</v>
      </c>
      <c r="N44" s="46" t="s">
        <v>50</v>
      </c>
      <c r="O44" s="46" t="s">
        <v>51</v>
      </c>
      <c r="P44" s="46" t="s">
        <v>52</v>
      </c>
      <c r="Q44" s="47" t="s">
        <v>53</v>
      </c>
      <c r="R44" s="175"/>
    </row>
    <row r="45" spans="1:18" ht="15">
      <c r="A45" s="173"/>
      <c r="B45" s="133" t="s">
        <v>24</v>
      </c>
      <c r="C45" s="203">
        <f>SalesA/convA</f>
        <v>929.07363442113444</v>
      </c>
      <c r="D45" s="190">
        <f>SQRT((Sum_Sq_A/convA)-(SalesA/convA)^2)</f>
        <v>703.12493202312032</v>
      </c>
      <c r="E45" s="194">
        <f>st_dev_AOV_A/SQRT(convA)</f>
        <v>9.7997101073518866</v>
      </c>
      <c r="F45" s="113">
        <f>t_value*SE_AOV_A</f>
        <v>19.20707886934284</v>
      </c>
      <c r="G45" s="135">
        <f>AOV_A-t_value*SE_AOV_A</f>
        <v>909.86655555179163</v>
      </c>
      <c r="H45" s="136">
        <f>AOV_A+t_value*SE_AOV_A</f>
        <v>948.28071329047725</v>
      </c>
      <c r="I45" s="116" t="s">
        <v>19</v>
      </c>
      <c r="J45" s="57" t="s">
        <v>19</v>
      </c>
      <c r="K45" s="117" t="s">
        <v>19</v>
      </c>
      <c r="L45" s="165" t="s">
        <v>19</v>
      </c>
      <c r="M45" s="166" t="s">
        <v>19</v>
      </c>
      <c r="N45" s="137" t="s">
        <v>19</v>
      </c>
      <c r="O45" s="138" t="s">
        <v>19</v>
      </c>
      <c r="P45" s="138" t="s">
        <v>19</v>
      </c>
      <c r="Q45" s="139" t="s">
        <v>19</v>
      </c>
      <c r="R45" s="175"/>
    </row>
    <row r="46" spans="1:18" ht="15">
      <c r="A46" s="173"/>
      <c r="B46" s="140" t="s">
        <v>25</v>
      </c>
      <c r="C46" s="204">
        <f>SalesB/convB</f>
        <v>910.21183539258675</v>
      </c>
      <c r="D46" s="192">
        <f>SQRT((Sum_Sq_B/convB)-(SalesB/convB)^2)</f>
        <v>690.26930499617868</v>
      </c>
      <c r="E46" s="195">
        <f>st_dev_AOV_B/SQRT(convB)</f>
        <v>9.7443580411895727</v>
      </c>
      <c r="F46" s="113">
        <f>t_value*SE_AOV_B</f>
        <v>19.098590813194825</v>
      </c>
      <c r="G46" s="135">
        <f>AOV_B-t_value*SE_AOV_B</f>
        <v>891.1132445793919</v>
      </c>
      <c r="H46" s="136">
        <f>AOV_B+t_value*SE_AOV_B</f>
        <v>929.3104262057816</v>
      </c>
      <c r="I46" s="141">
        <f>SQRT(POWER(st_dev_AOV_A,2)/convA+(POWER(st_dev_AOV_B,2)/convB))</f>
        <v>13.819798544951031</v>
      </c>
      <c r="J46" s="68">
        <f>(AOV_B-AOV_A)/SEdiffB_AOV</f>
        <v>-1.3648389278032367</v>
      </c>
      <c r="K46" s="121">
        <f>visitorsA+visitorsB-2</f>
        <v>244497</v>
      </c>
      <c r="L46" s="152">
        <f>1-_xlfn.T.DIST.2T(ABS(signal_noiseB_AOV),DOF_B)</f>
        <v>0.82769506328229492</v>
      </c>
      <c r="M46" s="167">
        <f>(AOV_B-AOV_A)/AOV_A</f>
        <v>-2.0301726719755279E-2</v>
      </c>
      <c r="N46" s="65">
        <f>((AOV_B/AOV_A)^2)*((SE_AOV_A*SE_AOV_A)/(AOV_A^2)+(SE_AOV_B*SE_AOV_B)/(AOV_B^2))</f>
        <v>2.1678857406940287E-4</v>
      </c>
      <c r="O46" s="65">
        <f>t_value*SQRT(AOV_Lift_Var_B)</f>
        <v>2.8858003743928804E-2</v>
      </c>
      <c r="P46" s="65">
        <f>AOV_Lift_B-AOV_CI_Range_B</f>
        <v>-4.9159730463684083E-2</v>
      </c>
      <c r="Q46" s="66">
        <f>AOV_Lift_B+AOV_CI_Range_B</f>
        <v>8.5562770241735253E-3</v>
      </c>
      <c r="R46" s="175"/>
    </row>
    <row r="47" spans="1:18" ht="15">
      <c r="A47" s="173"/>
      <c r="B47" s="140" t="s">
        <v>26</v>
      </c>
      <c r="C47" s="204">
        <f>IF(ISERROR(SalesC/convC),"-",SalesC/convC)</f>
        <v>946.24336583536478</v>
      </c>
      <c r="D47" s="192">
        <f>IF(ISERROR(SQRT((Sum_Sq_C/convC)-(SalesC/convC)^2)),"-",SQRT((Sum_Sq_C/convC)-(SalesC/convC)^2))</f>
        <v>709.7123326568427</v>
      </c>
      <c r="E47" s="195">
        <f>IF(ISERROR(st_dev_AOV_C/SQRT(convC)),"-",st_dev_AOV_C/SQRT(convC))</f>
        <v>9.7184400543912588</v>
      </c>
      <c r="F47" s="113">
        <f>IF(ISERROR(t_value*SE_AOV_C),"-",t_value*SE_AOV_C)</f>
        <v>19.047792492518347</v>
      </c>
      <c r="G47" s="135">
        <f>IF(ISERROR(AOV_C-t_value*SE_AOV_C),"-",AOV_C-t_value*SE_AOV_C)</f>
        <v>927.19557334284639</v>
      </c>
      <c r="H47" s="136">
        <f>IF(ISERROR(AOV_C+t_value*SE_AOV_C),"-",AOV_C+t_value*SE_AOV_C)</f>
        <v>965.29115832788318</v>
      </c>
      <c r="I47" s="141">
        <f>IF(ISERROR(SQRT(POWER(st_dev_AOV_A,2)/convA+(POWER(st_dev_AOV_C,2)/convC))),"-",SQRT(POWER(st_dev_AOV_A,2)/convA+(POWER(st_dev_AOV_C,2)/convC)))</f>
        <v>13.80153597535184</v>
      </c>
      <c r="J47" s="68">
        <f>IF(ISERROR((AOV_C-AOV_A)/SEdiffC_AOV),"-",(AOV_C-AOV_A)/SEdiffC_AOV)</f>
        <v>1.2440449704216807</v>
      </c>
      <c r="K47" s="121">
        <f>IF(ISERROR(visitorsA+visitorsC-2),"-",visitorsA+visitorsC-2)</f>
        <v>244569</v>
      </c>
      <c r="L47" s="152">
        <f>IF(ISERROR(1-_xlfn.T.DIST.2T(ABS(signal_noiseC_AOV),DOF_C)),"-",1-_xlfn.T.DIST.2T(ABS(signal_noiseC_AOV),DOF_C))</f>
        <v>0.78651579529140891</v>
      </c>
      <c r="M47" s="167">
        <f>IF(ISERROR((AOV_C-AOV_A)/AOV_A),"-",(AOV_C-AOV_A)/AOV_A)</f>
        <v>1.8480485053187477E-2</v>
      </c>
      <c r="N47" s="65">
        <f>IF(ISERROR(((AOV_C/AOV_A)^2)*((SE_AOV_A*SE_AOV_A)/(AOV_A^2)+(SE_AOV_C*SE_AOV_C)/(AOV_C^2))),"-",((AOV_C/AOV_A)^2)*((SE_AOV_A*SE_AOV_A)/(AOV_A^2)+(SE_AOV_C*SE_AOV_C)/(AOV_C^2)))</f>
        <v>2.2482588314507674E-4</v>
      </c>
      <c r="O47" s="65">
        <f>IF(ISERROR(t_value*SQRT(AOV_Lift_Var_C)),"-",t_value*SQRT(AOV_Lift_Var_C))</f>
        <v>2.9388082141031273E-2</v>
      </c>
      <c r="P47" s="65">
        <f>IF(ISERROR(AOV_Lift_C-AOV_CI_Range_C),"-",AOV_Lift_C-AOV_CI_Range_C)</f>
        <v>-1.0907597087843796E-2</v>
      </c>
      <c r="Q47" s="66">
        <f>IF(ISERROR(AOV_Lift_C+AOV_CI_Range_C),"-",AOV_Lift_C+AOV_CI_Range_C)</f>
        <v>4.7868567194218753E-2</v>
      </c>
      <c r="R47" s="175"/>
    </row>
    <row r="48" spans="1:18" ht="15">
      <c r="A48" s="173"/>
      <c r="B48" s="142" t="s">
        <v>14</v>
      </c>
      <c r="C48" s="204" t="str">
        <f>IF(ISERROR(SalesD/convD),"-",SalesD/convD)</f>
        <v>-</v>
      </c>
      <c r="D48" s="192" t="str">
        <f>IF(ISERROR(SQRT((Sum_Sq_D/convD)-(SalesD/convD)^2)),"-",SQRT((Sum_Sq_D/convD)-(SalesD/convD)^2))</f>
        <v>-</v>
      </c>
      <c r="E48" s="195" t="str">
        <f>IF(ISERROR(st_dev_AOV_D/SQRT(convD)),"-",st_dev_AOV_D/SQRT(convD))</f>
        <v>-</v>
      </c>
      <c r="F48" s="113" t="str">
        <f>IF(ISERROR(t_value*SE_AOV_D),"-",t_value*SE_AOV_D)</f>
        <v>-</v>
      </c>
      <c r="G48" s="135" t="str">
        <f>IF(ISERROR(AOV_D-t_value*SE_AOV_D),"-",AOV_D-t_value*SE_AOV_D)</f>
        <v>-</v>
      </c>
      <c r="H48" s="136" t="str">
        <f>IF(ISERROR(AOV_D+t_value*SE_AOV_D),"-",AOV_D+t_value*SE_AOV_D)</f>
        <v>-</v>
      </c>
      <c r="I48" s="141" t="str">
        <f>IF(ISERROR(SQRT(POWER(st_dev_AOV_A,2)/convA+(POWER(st_dev_AOV_D,2)/convD))),"-",SQRT(POWER(st_dev_AOV_A,2)/convA+(POWER(st_dev_AOV_D,2)/convD)))</f>
        <v>-</v>
      </c>
      <c r="J48" s="68" t="str">
        <f>IF(ISERROR((AOV_D-AOV_A)/SEdiffD_AOV),"-",(AOV_D-AOV_A)/SEdiffD_AOV)</f>
        <v>-</v>
      </c>
      <c r="K48" s="121" t="str">
        <f>IF(ISERROR(visitorsA+visitorsD-2),"-",visitorsA+visitorsD-2)</f>
        <v>-</v>
      </c>
      <c r="L48" s="152" t="str">
        <f>IF(ISERROR(1-_xlfn.T.DIST.2T(ABS(signal_noiseD_AOV),DOF_D)),"-",1-_xlfn.T.DIST.2T(ABS(signal_noiseD_AOV),DOF_D))</f>
        <v>-</v>
      </c>
      <c r="M48" s="167" t="str">
        <f>IF(ISERROR((AOV_D-AOV_A)/AOV_A),"-",(AOV_D-AOV_A)/AOV_A)</f>
        <v>-</v>
      </c>
      <c r="N48" s="65" t="str">
        <f>IF(ISERROR(((AOV_D/AOV_A)^2)*((SE_AOV_A*SE_AOV_A)/(AOV_A^2)+(SE_AOV_D*SE_AOV_D)/(AOV_D^2))),"-",((AOV_D/AOV_A)^2)*((SE_AOV_A*SE_AOV_A)/(AOV_A^2)+(SE_AOV_D*SE_AOV_D)/(AOV_D^2)))</f>
        <v>-</v>
      </c>
      <c r="O48" s="65" t="str">
        <f>IF(ISERROR(t_value*SQRT(AOV_Lift_Var_D)),"-",t_value*SQRT(AOV_Lift_Var_D))</f>
        <v>-</v>
      </c>
      <c r="P48" s="65" t="str">
        <f>IF(ISERROR(AOV_Lift_D-AOV_CI_Range_D),"-",AOV_Lift_D-AOV_CI_Range_D)</f>
        <v>-</v>
      </c>
      <c r="Q48" s="66" t="str">
        <f>IF(ISERROR(AOV_Lift_D+AOV_CI_Range_D),"-",AOV_Lift_D+AOV_CI_Range_D)</f>
        <v>-</v>
      </c>
      <c r="R48" s="175"/>
    </row>
    <row r="49" spans="1:18" ht="15">
      <c r="A49" s="173"/>
      <c r="B49" s="142" t="s">
        <v>15</v>
      </c>
      <c r="C49" s="204" t="str">
        <f>IF(ISERROR(SalesE/convE),"-",SalesE/convE)</f>
        <v>-</v>
      </c>
      <c r="D49" s="192" t="str">
        <f>IF(ISERROR(SQRT((Sum_Sq_E/convE)-(SalesE/convE)^2)),"-",SQRT((Sum_Sq_E/convE)-(SalesE/convE)^2))</f>
        <v>-</v>
      </c>
      <c r="E49" s="195" t="str">
        <f>IF(ISERROR(st_dev_AOV_E/SQRT(convE)),"-",st_dev_AOV_E/SQRT(convE))</f>
        <v>-</v>
      </c>
      <c r="F49" s="113" t="str">
        <f>IF(ISERROR(t_value*SE_AOV_E),"-",t_value*SE_AOV_E)</f>
        <v>-</v>
      </c>
      <c r="G49" s="135" t="str">
        <f>IF(ISERROR(AOV_E-t_value*SE_AOV_E),"-",AOV_E-t_value*SE_AOV_E)</f>
        <v>-</v>
      </c>
      <c r="H49" s="136" t="str">
        <f>IF(ISERROR(AOV_E+t_value*SE_AOV_E),"-",AOV_E+t_value*SE_AOV_E)</f>
        <v>-</v>
      </c>
      <c r="I49" s="141" t="str">
        <f>IF(ISERROR(SQRT(POWER(st_dev_AOV_A,2)/convA+(POWER(st_dev_AOV_E,2)/convE))),"-",SQRT(POWER(st_dev_AOV_A,2)/convA+(POWER(st_dev_AOV_E,2)/convE)))</f>
        <v>-</v>
      </c>
      <c r="J49" s="68" t="str">
        <f>IF(ISERROR((AOV_E-AOV_A)/SEdiffE_AOV),"-",(AOV_E-AOV_A)/SEdiffE_AOV)</f>
        <v>-</v>
      </c>
      <c r="K49" s="121" t="str">
        <f>IF(ISERROR(visitorsA+visitorsE-2),"-",visitorsA+visitorsE-2)</f>
        <v>-</v>
      </c>
      <c r="L49" s="152" t="str">
        <f>IF(ISERROR(1-_xlfn.T.DIST.2T(ABS(signal_noiseE_AOV),DOF_E)),"-",1-_xlfn.T.DIST.2T(ABS(signal_noiseE_AOV),DOF_E))</f>
        <v>-</v>
      </c>
      <c r="M49" s="167" t="str">
        <f>IF(ISERROR((AOV_E-AOV_A)/AOV_A),"-",(AOV_E-AOV_A)/AOV_A)</f>
        <v>-</v>
      </c>
      <c r="N49" s="65" t="str">
        <f>IF(ISERROR(((AOV_E/AOV_A)^2)*((SE_AOV_A*SE_AOV_A)/(AOV_A^2)+(SE_AOV_E*SE_AOV_E)/(AOV_E^2))),"-",((AOV_E/AOV_A)^2)*((SE_AOV_A*SE_AOV_A)/(AOV_A^2)+(SE_AOV_E*SE_AOV_E)/(AOV_E^2)))</f>
        <v>-</v>
      </c>
      <c r="O49" s="65" t="str">
        <f>IF(ISERROR(t_value*SQRT(AOV_Lift_Var_E)),"-",t_value*SQRT(AOV_Lift_Var_E))</f>
        <v>-</v>
      </c>
      <c r="P49" s="65" t="str">
        <f>IF(ISERROR(AOV_Lift_E-AOV_CI_Range_E),"-",AOV_Lift_E-AOV_CI_Range_E)</f>
        <v>-</v>
      </c>
      <c r="Q49" s="66" t="str">
        <f>IF(ISERROR(AOV_Lift_E+AOV_CI_Range_E),"-",AOV_Lift_E+AOV_CI_Range_E)</f>
        <v>-</v>
      </c>
      <c r="R49" s="175"/>
    </row>
    <row r="50" spans="1:18" ht="15.75" thickBot="1">
      <c r="A50" s="173"/>
      <c r="B50" s="144" t="s">
        <v>16</v>
      </c>
      <c r="C50" s="204" t="str">
        <f>IF(ISERROR(SalesF/convF),"-",SalesF/convF)</f>
        <v>-</v>
      </c>
      <c r="D50" s="192" t="str">
        <f>IF(ISERROR(SQRT((Sum_Sq_F/convF)-(SalesF/convF)^2)),"-",SQRT((Sum_Sq_F/convF)-(SalesF/convF)^2))</f>
        <v>-</v>
      </c>
      <c r="E50" s="195" t="str">
        <f>IF(ISERROR(st_dev_AOV_F/SQRT(convF)),"-",st_dev_AOV_F/SQRT(convF))</f>
        <v>-</v>
      </c>
      <c r="F50" s="113" t="str">
        <f>IF(ISERROR(t_value*SE_AOV_F),"-",t_value*SE_AOV_F)</f>
        <v>-</v>
      </c>
      <c r="G50" s="135" t="str">
        <f>IF(ISERROR(AOV_F-t_value*SE_AOV_F),"-",AOV_F-t_value*SE_AOV_F)</f>
        <v>-</v>
      </c>
      <c r="H50" s="136" t="str">
        <f>IF(ISERROR(AOV_F+t_value*SE_AOV_F),"-",AOV_F+t_value*SE_AOV_F)</f>
        <v>-</v>
      </c>
      <c r="I50" s="141" t="str">
        <f>IF(ISERROR(SQRT(POWER(st_dev_AOV_A,2)/convA+(POWER(st_dev_AOV_F,2)/convF))),"-",SQRT(POWER(st_dev_AOV_A,2)/convA+(POWER(st_dev_AOV_F,2)/convF)))</f>
        <v>-</v>
      </c>
      <c r="J50" s="68" t="str">
        <f>IF(ISERROR((AOV_F-AOV_A)/SEdiffF_AOV),"-",(AOV_F-AOV_A)/SEdiffF_AOV)</f>
        <v>-</v>
      </c>
      <c r="K50" s="121" t="str">
        <f>IF(ISERROR(visitorsA+visitorsF-2),"-",visitorsA+visitorsF-2)</f>
        <v>-</v>
      </c>
      <c r="L50" s="152" t="str">
        <f>IF(ISERROR(1-_xlfn.T.DIST.2T(ABS(signal_noiseF_AOV),DOF_F)),"-",1-_xlfn.T.DIST.2T(ABS(signal_noiseF_AOV),DOF_F))</f>
        <v>-</v>
      </c>
      <c r="M50" s="167" t="str">
        <f>IF(ISERROR((AOV_F-AOV_A)/AOV_A),"-",(AOV_F-AOV_A)/AOV_A)</f>
        <v>-</v>
      </c>
      <c r="N50" s="65" t="str">
        <f>IF(ISERROR(((AOV_F/AOV_A)^2)*((SE_AOV_A*SE_AOV_A)/(AOV_A^2)+(SE_AOV_F*SE_AOV_F)/(AOV_F^2))),"-",((AOV_F/AOV_A)^2)*((SE_AOV_A*SE_AOV_A)/(AOV_A^2)+(SE_AOV_F*SE_AOV_F)/(AOV_F^2)))</f>
        <v>-</v>
      </c>
      <c r="O50" s="65" t="str">
        <f>IF(ISERROR(t_value*SQRT(AOV_Lift_Var_F)),"-",t_value*SQRT(AOV_Lift_Var_F))</f>
        <v>-</v>
      </c>
      <c r="P50" s="65" t="str">
        <f>IF(ISERROR(AOV_Lift_F-AOV_CI_Range_F),"-",AOV_Lift_F-AOV_CI_Range_F)</f>
        <v>-</v>
      </c>
      <c r="Q50" s="66" t="str">
        <f>IF(ISERROR(AOV_Lift_F+AOV_CI_Range_F),"-",AOV_Lift_F+AOV_CI_Range_F)</f>
        <v>-</v>
      </c>
      <c r="R50" s="175"/>
    </row>
    <row r="51" spans="1:18" ht="15.75" thickBot="1">
      <c r="A51" s="173"/>
      <c r="B51" s="145" t="s">
        <v>1</v>
      </c>
      <c r="C51" s="129"/>
      <c r="D51" s="98"/>
      <c r="E51" s="162"/>
      <c r="F51" s="95"/>
      <c r="G51" s="128"/>
      <c r="H51" s="96"/>
      <c r="I51" s="129"/>
      <c r="J51" s="98"/>
      <c r="K51" s="98"/>
      <c r="L51" s="162"/>
      <c r="M51" s="157"/>
      <c r="N51" s="93"/>
      <c r="O51" s="93"/>
      <c r="P51" s="93"/>
      <c r="Q51" s="96"/>
      <c r="R51" s="175"/>
    </row>
    <row r="52" spans="1:18" ht="15">
      <c r="A52" s="173"/>
      <c r="B52" s="10"/>
      <c r="C52" s="10"/>
      <c r="D52" s="10"/>
      <c r="E52" s="10"/>
      <c r="F52" s="10"/>
      <c r="G52" s="178"/>
      <c r="H52" s="10"/>
      <c r="I52" s="10"/>
      <c r="J52" s="10"/>
      <c r="K52" s="10"/>
      <c r="L52" s="10"/>
      <c r="M52" s="10"/>
      <c r="N52" s="10"/>
      <c r="O52" s="10"/>
      <c r="P52" s="10"/>
      <c r="Q52" s="10"/>
      <c r="R52" s="175"/>
    </row>
    <row r="53" spans="1:18" ht="15">
      <c r="A53" s="173"/>
      <c r="B53" s="10"/>
      <c r="C53" s="10"/>
      <c r="D53" s="10"/>
      <c r="E53" s="10"/>
      <c r="F53" s="10"/>
      <c r="G53" s="10"/>
      <c r="H53" s="10"/>
      <c r="I53" s="10"/>
      <c r="J53" s="10"/>
      <c r="K53" s="10"/>
      <c r="L53" s="10"/>
      <c r="M53" s="10"/>
      <c r="N53" s="10"/>
      <c r="O53" s="10"/>
      <c r="P53" s="10"/>
      <c r="Q53" s="10"/>
      <c r="R53" s="175"/>
    </row>
    <row r="54" spans="1:18" ht="15">
      <c r="A54" s="173"/>
      <c r="B54" s="10"/>
      <c r="C54" s="10"/>
      <c r="D54" s="10"/>
      <c r="E54" s="10"/>
      <c r="F54" s="10"/>
      <c r="G54" s="10"/>
      <c r="H54" s="10"/>
      <c r="I54" s="10"/>
      <c r="J54" s="10"/>
      <c r="K54" s="10"/>
      <c r="L54" s="10"/>
      <c r="M54" s="10"/>
      <c r="N54" s="10"/>
      <c r="O54" s="10"/>
      <c r="P54" s="10"/>
      <c r="Q54" s="10"/>
      <c r="R54" s="175"/>
    </row>
    <row r="55" spans="1:18">
      <c r="A55" s="173"/>
      <c r="B55" s="106"/>
      <c r="C55" s="106"/>
      <c r="D55" s="106"/>
      <c r="E55" s="106"/>
      <c r="F55" s="106"/>
      <c r="G55" s="106"/>
      <c r="H55" s="106"/>
      <c r="I55" s="106"/>
      <c r="J55" s="106"/>
      <c r="K55" s="106"/>
      <c r="L55" s="106"/>
      <c r="M55" s="106"/>
      <c r="N55" s="106"/>
      <c r="O55" s="106"/>
      <c r="P55" s="106"/>
      <c r="Q55" s="106"/>
      <c r="R55" s="175"/>
    </row>
    <row r="56" spans="1:18">
      <c r="A56" s="173"/>
      <c r="B56" s="106"/>
      <c r="C56" s="106"/>
      <c r="D56" s="106"/>
      <c r="E56" s="106"/>
      <c r="F56" s="106"/>
      <c r="G56" s="106"/>
      <c r="H56" s="106"/>
      <c r="I56" s="106"/>
      <c r="J56" s="106"/>
      <c r="K56" s="106"/>
      <c r="L56" s="106"/>
      <c r="M56" s="106"/>
      <c r="N56" s="106"/>
      <c r="O56" s="106"/>
      <c r="P56" s="106"/>
      <c r="Q56" s="106"/>
      <c r="R56" s="175"/>
    </row>
    <row r="57" spans="1:18">
      <c r="A57" s="173"/>
      <c r="B57" s="106"/>
      <c r="C57" s="106"/>
      <c r="D57" s="106"/>
      <c r="E57" s="106"/>
      <c r="F57" s="106"/>
      <c r="G57" s="106"/>
      <c r="H57" s="106"/>
      <c r="I57" s="106"/>
      <c r="J57" s="106"/>
      <c r="K57" s="106"/>
      <c r="L57" s="106"/>
      <c r="M57" s="106"/>
      <c r="N57" s="106"/>
      <c r="O57" s="106"/>
      <c r="P57" s="106"/>
      <c r="Q57" s="106"/>
      <c r="R57" s="175"/>
    </row>
    <row r="58" spans="1:18">
      <c r="A58" s="173"/>
      <c r="B58" s="106"/>
      <c r="C58" s="106"/>
      <c r="D58" s="106"/>
      <c r="E58" s="106"/>
      <c r="F58" s="106"/>
      <c r="G58" s="106"/>
      <c r="H58" s="106"/>
      <c r="I58" s="106"/>
      <c r="J58" s="106"/>
      <c r="K58" s="106"/>
      <c r="L58" s="106"/>
      <c r="M58" s="106"/>
      <c r="N58" s="106"/>
      <c r="O58" s="106"/>
      <c r="P58" s="106"/>
      <c r="Q58" s="106"/>
      <c r="R58" s="175"/>
    </row>
    <row r="59" spans="1:18">
      <c r="A59" s="173"/>
      <c r="B59" s="106"/>
      <c r="C59" s="106"/>
      <c r="D59" s="106"/>
      <c r="E59" s="106"/>
      <c r="F59" s="106"/>
      <c r="G59" s="106"/>
      <c r="H59" s="106"/>
      <c r="I59" s="106"/>
      <c r="J59" s="106"/>
      <c r="K59" s="106"/>
      <c r="L59" s="106"/>
      <c r="M59" s="106"/>
      <c r="N59" s="106"/>
      <c r="O59" s="106"/>
      <c r="P59" s="106"/>
      <c r="Q59" s="106"/>
      <c r="R59" s="175"/>
    </row>
    <row r="60" spans="1:18" ht="13.5" thickBot="1">
      <c r="A60" s="196"/>
      <c r="B60" s="197"/>
      <c r="C60" s="197"/>
      <c r="D60" s="197"/>
      <c r="E60" s="197"/>
      <c r="F60" s="197"/>
      <c r="G60" s="197"/>
      <c r="H60" s="197"/>
      <c r="I60" s="197"/>
      <c r="J60" s="197"/>
      <c r="K60" s="197"/>
      <c r="L60" s="197"/>
      <c r="M60" s="197"/>
      <c r="N60" s="197"/>
      <c r="O60" s="197"/>
      <c r="P60" s="197"/>
      <c r="Q60" s="197"/>
      <c r="R60" s="198"/>
    </row>
  </sheetData>
  <mergeCells count="8">
    <mergeCell ref="C4:G4"/>
    <mergeCell ref="B42:Q42"/>
    <mergeCell ref="I6:J6"/>
    <mergeCell ref="I7:J7"/>
    <mergeCell ref="I9:J9"/>
    <mergeCell ref="I8:J8"/>
    <mergeCell ref="P19:Q19"/>
    <mergeCell ref="G19:H19"/>
  </mergeCells>
  <phoneticPr fontId="3" type="noConversion"/>
  <pageMargins left="0.75" right="0.75" top="1" bottom="1" header="0.5" footer="0.5"/>
  <pageSetup scale="37"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358</vt:i4>
      </vt:variant>
    </vt:vector>
  </HeadingPairs>
  <TitlesOfParts>
    <vt:vector size="360" baseType="lpstr">
      <vt:lpstr>Overview</vt:lpstr>
      <vt:lpstr>Detailed calculations</vt:lpstr>
      <vt:lpstr>Overview!AOV_A</vt:lpstr>
      <vt:lpstr>AOV_A</vt:lpstr>
      <vt:lpstr>Overview!AOV_B</vt:lpstr>
      <vt:lpstr>AOV_B</vt:lpstr>
      <vt:lpstr>Overview!AOV_C</vt:lpstr>
      <vt:lpstr>AOV_C</vt:lpstr>
      <vt:lpstr>Overview!AOV_CI_Range_A</vt:lpstr>
      <vt:lpstr>AOV_CI_Range_A</vt:lpstr>
      <vt:lpstr>Overview!AOV_CI_Range_B</vt:lpstr>
      <vt:lpstr>AOV_CI_Range_B</vt:lpstr>
      <vt:lpstr>Overview!AOV_CI_Range_C</vt:lpstr>
      <vt:lpstr>AOV_CI_Range_C</vt:lpstr>
      <vt:lpstr>Overview!AOV_CI_Range_D</vt:lpstr>
      <vt:lpstr>AOV_CI_Range_D</vt:lpstr>
      <vt:lpstr>Overview!AOV_CI_Range_E</vt:lpstr>
      <vt:lpstr>AOV_CI_Range_E</vt:lpstr>
      <vt:lpstr>Overview!AOV_CI_Range_F</vt:lpstr>
      <vt:lpstr>AOV_CI_Range_F</vt:lpstr>
      <vt:lpstr>Overview!AOV_D</vt:lpstr>
      <vt:lpstr>AOV_D</vt:lpstr>
      <vt:lpstr>Overview!AOV_E</vt:lpstr>
      <vt:lpstr>AOV_E</vt:lpstr>
      <vt:lpstr>Overview!AOV_F</vt:lpstr>
      <vt:lpstr>AOV_F</vt:lpstr>
      <vt:lpstr>Overview!AOV_Lift_A</vt:lpstr>
      <vt:lpstr>AOV_Lift_A</vt:lpstr>
      <vt:lpstr>Overview!AOV_Lift_B</vt:lpstr>
      <vt:lpstr>AOV_Lift_B</vt:lpstr>
      <vt:lpstr>Overview!AOV_Lift_C</vt:lpstr>
      <vt:lpstr>AOV_Lift_C</vt:lpstr>
      <vt:lpstr>Overview!AOV_Lift_D</vt:lpstr>
      <vt:lpstr>AOV_Lift_D</vt:lpstr>
      <vt:lpstr>Overview!AOV_Lift_E</vt:lpstr>
      <vt:lpstr>AOV_Lift_E</vt:lpstr>
      <vt:lpstr>Overview!AOV_Lift_F</vt:lpstr>
      <vt:lpstr>AOV_Lift_F</vt:lpstr>
      <vt:lpstr>Overview!AOV_Lift_Var_B</vt:lpstr>
      <vt:lpstr>AOV_Lift_Var_B</vt:lpstr>
      <vt:lpstr>Overview!AOV_Lift_Var_C</vt:lpstr>
      <vt:lpstr>AOV_Lift_Var_C</vt:lpstr>
      <vt:lpstr>Overview!AOV_Lift_Var_D</vt:lpstr>
      <vt:lpstr>AOV_Lift_Var_D</vt:lpstr>
      <vt:lpstr>Overview!AOV_Lift_Var_E</vt:lpstr>
      <vt:lpstr>AOV_Lift_Var_E</vt:lpstr>
      <vt:lpstr>Overview!AOV_Lift_Var_F</vt:lpstr>
      <vt:lpstr>AOV_Lift_Var_F</vt:lpstr>
      <vt:lpstr>Overview!CI_A</vt:lpstr>
      <vt:lpstr>CI_A</vt:lpstr>
      <vt:lpstr>Overview!CI_B</vt:lpstr>
      <vt:lpstr>CI_B</vt:lpstr>
      <vt:lpstr>Overview!CI_C</vt:lpstr>
      <vt:lpstr>CI_C</vt:lpstr>
      <vt:lpstr>Overview!CI_D</vt:lpstr>
      <vt:lpstr>CI_D</vt:lpstr>
      <vt:lpstr>Overview!CI_E</vt:lpstr>
      <vt:lpstr>CI_E</vt:lpstr>
      <vt:lpstr>Overview!CI_F</vt:lpstr>
      <vt:lpstr>CI_F</vt:lpstr>
      <vt:lpstr>Overview!ConfRangeArev</vt:lpstr>
      <vt:lpstr>ConfRangeArev</vt:lpstr>
      <vt:lpstr>Overview!ConfRangeBrev</vt:lpstr>
      <vt:lpstr>ConfRangeBrev</vt:lpstr>
      <vt:lpstr>Overview!ConfRangeCrev</vt:lpstr>
      <vt:lpstr>ConfRangeCrev</vt:lpstr>
      <vt:lpstr>Overview!ConfRangeDrev</vt:lpstr>
      <vt:lpstr>ConfRangeDrev</vt:lpstr>
      <vt:lpstr>Overview!ConfRangeErev</vt:lpstr>
      <vt:lpstr>ConfRangeErev</vt:lpstr>
      <vt:lpstr>Overview!ConfRangeFrev</vt:lpstr>
      <vt:lpstr>ConfRangeFrev</vt:lpstr>
      <vt:lpstr>Overview!convA</vt:lpstr>
      <vt:lpstr>convA</vt:lpstr>
      <vt:lpstr>Overview!convB</vt:lpstr>
      <vt:lpstr>convB</vt:lpstr>
      <vt:lpstr>Overview!convC</vt:lpstr>
      <vt:lpstr>convC</vt:lpstr>
      <vt:lpstr>Overview!convD</vt:lpstr>
      <vt:lpstr>convD</vt:lpstr>
      <vt:lpstr>Overview!convE</vt:lpstr>
      <vt:lpstr>convE</vt:lpstr>
      <vt:lpstr>Overview!convF</vt:lpstr>
      <vt:lpstr>convF</vt:lpstr>
      <vt:lpstr>Overview!CR_A</vt:lpstr>
      <vt:lpstr>CR_A</vt:lpstr>
      <vt:lpstr>Overview!CR_B</vt:lpstr>
      <vt:lpstr>CR_B</vt:lpstr>
      <vt:lpstr>Overview!CR_C</vt:lpstr>
      <vt:lpstr>CR_C</vt:lpstr>
      <vt:lpstr>Overview!CR_D</vt:lpstr>
      <vt:lpstr>CR_D</vt:lpstr>
      <vt:lpstr>Overview!CR_E</vt:lpstr>
      <vt:lpstr>CR_E</vt:lpstr>
      <vt:lpstr>Overview!CR_F</vt:lpstr>
      <vt:lpstr>CR_F</vt:lpstr>
      <vt:lpstr>Overview!DOF_A</vt:lpstr>
      <vt:lpstr>DOF_A</vt:lpstr>
      <vt:lpstr>Overview!DOF_B</vt:lpstr>
      <vt:lpstr>DOF_B</vt:lpstr>
      <vt:lpstr>Overview!DOF_C</vt:lpstr>
      <vt:lpstr>DOF_C</vt:lpstr>
      <vt:lpstr>Overview!DOF_D</vt:lpstr>
      <vt:lpstr>DOF_D</vt:lpstr>
      <vt:lpstr>Overview!DOF_E</vt:lpstr>
      <vt:lpstr>DOF_E</vt:lpstr>
      <vt:lpstr>Overview!DOF_F</vt:lpstr>
      <vt:lpstr>DOF_F</vt:lpstr>
      <vt:lpstr>Overview!Lift_Var_B</vt:lpstr>
      <vt:lpstr>Lift_Var_B</vt:lpstr>
      <vt:lpstr>Overview!Lift_Var_C</vt:lpstr>
      <vt:lpstr>Lift_Var_C</vt:lpstr>
      <vt:lpstr>Overview!Lift_Var_D</vt:lpstr>
      <vt:lpstr>Lift_Var_D</vt:lpstr>
      <vt:lpstr>Overview!Lift_Var_E</vt:lpstr>
      <vt:lpstr>Lift_Var_E</vt:lpstr>
      <vt:lpstr>Overview!Lift_Var_F</vt:lpstr>
      <vt:lpstr>Lift_Var_F</vt:lpstr>
      <vt:lpstr>Overview!LiftB</vt:lpstr>
      <vt:lpstr>LiftB</vt:lpstr>
      <vt:lpstr>Overview!LiftC</vt:lpstr>
      <vt:lpstr>LiftC</vt:lpstr>
      <vt:lpstr>Overview!LiftD</vt:lpstr>
      <vt:lpstr>LiftD</vt:lpstr>
      <vt:lpstr>Overview!LiftE</vt:lpstr>
      <vt:lpstr>LiftE</vt:lpstr>
      <vt:lpstr>Overview!LiftF</vt:lpstr>
      <vt:lpstr>LiftF</vt:lpstr>
      <vt:lpstr>Overview!RevLiftA</vt:lpstr>
      <vt:lpstr>RevLiftA</vt:lpstr>
      <vt:lpstr>Overview!RevLiftB</vt:lpstr>
      <vt:lpstr>RevLiftB</vt:lpstr>
      <vt:lpstr>Overview!RevLiftC</vt:lpstr>
      <vt:lpstr>RevLiftC</vt:lpstr>
      <vt:lpstr>Overview!RevLiftCIRangeA</vt:lpstr>
      <vt:lpstr>RevLiftCIRangeA</vt:lpstr>
      <vt:lpstr>Overview!RevLiftCIRangeB</vt:lpstr>
      <vt:lpstr>RevLiftCIRangeB</vt:lpstr>
      <vt:lpstr>Overview!RevLiftCIRangeC</vt:lpstr>
      <vt:lpstr>RevLiftCIRangeC</vt:lpstr>
      <vt:lpstr>Overview!RevLiftCIRangeD</vt:lpstr>
      <vt:lpstr>RevLiftCIRangeD</vt:lpstr>
      <vt:lpstr>Overview!RevLiftCIRangeE</vt:lpstr>
      <vt:lpstr>RevLiftCIRangeE</vt:lpstr>
      <vt:lpstr>Overview!RevLiftCIRangeF</vt:lpstr>
      <vt:lpstr>RevLiftCIRangeF</vt:lpstr>
      <vt:lpstr>Overview!RevLiftD</vt:lpstr>
      <vt:lpstr>RevLiftD</vt:lpstr>
      <vt:lpstr>Overview!RevLiftE</vt:lpstr>
      <vt:lpstr>RevLiftE</vt:lpstr>
      <vt:lpstr>Overview!RevLiftF</vt:lpstr>
      <vt:lpstr>RevLiftF</vt:lpstr>
      <vt:lpstr>Overview!RevLiftVarA</vt:lpstr>
      <vt:lpstr>RevLiftVarA</vt:lpstr>
      <vt:lpstr>Overview!RevLiftVarB</vt:lpstr>
      <vt:lpstr>RevLiftVarB</vt:lpstr>
      <vt:lpstr>Overview!RevLiftVarC</vt:lpstr>
      <vt:lpstr>RevLiftVarC</vt:lpstr>
      <vt:lpstr>Overview!RevLiftVarD</vt:lpstr>
      <vt:lpstr>RevLiftVarD</vt:lpstr>
      <vt:lpstr>Overview!RevLiftVarE</vt:lpstr>
      <vt:lpstr>RevLiftVarE</vt:lpstr>
      <vt:lpstr>Overview!RevLiftVarF</vt:lpstr>
      <vt:lpstr>RevLiftVarF</vt:lpstr>
      <vt:lpstr>Overview!RevPerVisitorA</vt:lpstr>
      <vt:lpstr>RevPerVisitorA</vt:lpstr>
      <vt:lpstr>Overview!RevPerVisitorB</vt:lpstr>
      <vt:lpstr>RevPerVisitorB</vt:lpstr>
      <vt:lpstr>Overview!RevPerVisitorC</vt:lpstr>
      <vt:lpstr>RevPerVisitorC</vt:lpstr>
      <vt:lpstr>Overview!RevPerVisitorD</vt:lpstr>
      <vt:lpstr>RevPerVisitorD</vt:lpstr>
      <vt:lpstr>Overview!RevPerVisitorE</vt:lpstr>
      <vt:lpstr>RevPerVisitorE</vt:lpstr>
      <vt:lpstr>Overview!RevPerVisitorF</vt:lpstr>
      <vt:lpstr>RevPerVisitorF</vt:lpstr>
      <vt:lpstr>Overview!SalesA</vt:lpstr>
      <vt:lpstr>SalesA</vt:lpstr>
      <vt:lpstr>Overview!SalesB</vt:lpstr>
      <vt:lpstr>SalesB</vt:lpstr>
      <vt:lpstr>Overview!SalesC</vt:lpstr>
      <vt:lpstr>SalesC</vt:lpstr>
      <vt:lpstr>Overview!SalesD</vt:lpstr>
      <vt:lpstr>SalesD</vt:lpstr>
      <vt:lpstr>Overview!SalesE</vt:lpstr>
      <vt:lpstr>SalesE</vt:lpstr>
      <vt:lpstr>Overview!SalesF</vt:lpstr>
      <vt:lpstr>SalesF</vt:lpstr>
      <vt:lpstr>Overview!SE_A</vt:lpstr>
      <vt:lpstr>SE_A</vt:lpstr>
      <vt:lpstr>Overview!SE_A_Squared</vt:lpstr>
      <vt:lpstr>SE_A_Squared</vt:lpstr>
      <vt:lpstr>Overview!SE_AOV_A</vt:lpstr>
      <vt:lpstr>SE_AOV_A</vt:lpstr>
      <vt:lpstr>Overview!SE_AOV_B</vt:lpstr>
      <vt:lpstr>SE_AOV_B</vt:lpstr>
      <vt:lpstr>Overview!SE_AOV_C</vt:lpstr>
      <vt:lpstr>SE_AOV_C</vt:lpstr>
      <vt:lpstr>Overview!SE_AOV_D</vt:lpstr>
      <vt:lpstr>SE_AOV_D</vt:lpstr>
      <vt:lpstr>Overview!SE_AOV_E</vt:lpstr>
      <vt:lpstr>SE_AOV_E</vt:lpstr>
      <vt:lpstr>Overview!SE_AOV_F</vt:lpstr>
      <vt:lpstr>SE_AOV_F</vt:lpstr>
      <vt:lpstr>Overview!SE_B_Squared</vt:lpstr>
      <vt:lpstr>SE_B_Squared</vt:lpstr>
      <vt:lpstr>Overview!SE_BminusA</vt:lpstr>
      <vt:lpstr>SE_BminusA</vt:lpstr>
      <vt:lpstr>Overview!SE_C_Squared</vt:lpstr>
      <vt:lpstr>SE_C_Squared</vt:lpstr>
      <vt:lpstr>Overview!SE_CminusA</vt:lpstr>
      <vt:lpstr>SE_CminusA</vt:lpstr>
      <vt:lpstr>Overview!SE_D_Squared</vt:lpstr>
      <vt:lpstr>SE_D_Squared</vt:lpstr>
      <vt:lpstr>Overview!SE_DminusA</vt:lpstr>
      <vt:lpstr>SE_DminusA</vt:lpstr>
      <vt:lpstr>Overview!SE_E_Squared</vt:lpstr>
      <vt:lpstr>SE_E_Squared</vt:lpstr>
      <vt:lpstr>Overview!SE_EminusA</vt:lpstr>
      <vt:lpstr>SE_EminusA</vt:lpstr>
      <vt:lpstr>Overview!SE_F_Squared</vt:lpstr>
      <vt:lpstr>SE_F_Squared</vt:lpstr>
      <vt:lpstr>Overview!SE_FminusA</vt:lpstr>
      <vt:lpstr>SE_FminusA</vt:lpstr>
      <vt:lpstr>Overview!SEdiffA_AOV</vt:lpstr>
      <vt:lpstr>SEdiffA_AOV</vt:lpstr>
      <vt:lpstr>Overview!SEdiffArev</vt:lpstr>
      <vt:lpstr>SEdiffArev</vt:lpstr>
      <vt:lpstr>Overview!SEdiffB_AOV</vt:lpstr>
      <vt:lpstr>SEdiffB_AOV</vt:lpstr>
      <vt:lpstr>Overview!SEdiffBrev</vt:lpstr>
      <vt:lpstr>SEdiffBrev</vt:lpstr>
      <vt:lpstr>Overview!SEdiffC_AOV</vt:lpstr>
      <vt:lpstr>SEdiffC_AOV</vt:lpstr>
      <vt:lpstr>Overview!SEdiffCrev</vt:lpstr>
      <vt:lpstr>SEdiffCrev</vt:lpstr>
      <vt:lpstr>Overview!SEdiffD_AOV</vt:lpstr>
      <vt:lpstr>SEdiffD_AOV</vt:lpstr>
      <vt:lpstr>Overview!SEdiffDrev</vt:lpstr>
      <vt:lpstr>SEdiffDrev</vt:lpstr>
      <vt:lpstr>Overview!SEdiffE_AOV</vt:lpstr>
      <vt:lpstr>SEdiffE_AOV</vt:lpstr>
      <vt:lpstr>Overview!SEdiffErev</vt:lpstr>
      <vt:lpstr>SEdiffErev</vt:lpstr>
      <vt:lpstr>Overview!SEdiffF_AOV</vt:lpstr>
      <vt:lpstr>SEdiffF_AOV</vt:lpstr>
      <vt:lpstr>Overview!SEdiffFrev</vt:lpstr>
      <vt:lpstr>SEdiffFrev</vt:lpstr>
      <vt:lpstr>Overview!SErevA</vt:lpstr>
      <vt:lpstr>SErevA</vt:lpstr>
      <vt:lpstr>Overview!SErevB</vt:lpstr>
      <vt:lpstr>SErevB</vt:lpstr>
      <vt:lpstr>Overview!SErevC</vt:lpstr>
      <vt:lpstr>SErevC</vt:lpstr>
      <vt:lpstr>Overview!SErevD</vt:lpstr>
      <vt:lpstr>SErevD</vt:lpstr>
      <vt:lpstr>Overview!SErevE</vt:lpstr>
      <vt:lpstr>SErevE</vt:lpstr>
      <vt:lpstr>Overview!SErevF</vt:lpstr>
      <vt:lpstr>SErevF</vt:lpstr>
      <vt:lpstr>Overview!sig_level</vt:lpstr>
      <vt:lpstr>sig_level</vt:lpstr>
      <vt:lpstr>Overview!signal_noiseA_AOV</vt:lpstr>
      <vt:lpstr>signal_noiseA_AOV</vt:lpstr>
      <vt:lpstr>Overview!signal_noiseArev</vt:lpstr>
      <vt:lpstr>signal_noiseArev</vt:lpstr>
      <vt:lpstr>Overview!signal_noiseB_AOV</vt:lpstr>
      <vt:lpstr>signal_noiseB_AOV</vt:lpstr>
      <vt:lpstr>Overview!signal_noiseBrev</vt:lpstr>
      <vt:lpstr>signal_noiseBrev</vt:lpstr>
      <vt:lpstr>Overview!signal_noiseC_AOV</vt:lpstr>
      <vt:lpstr>signal_noiseC_AOV</vt:lpstr>
      <vt:lpstr>Overview!signal_noiseCrev</vt:lpstr>
      <vt:lpstr>signal_noiseCrev</vt:lpstr>
      <vt:lpstr>Overview!signal_noiseD_AOV</vt:lpstr>
      <vt:lpstr>signal_noiseD_AOV</vt:lpstr>
      <vt:lpstr>Overview!signal_noiseDrev</vt:lpstr>
      <vt:lpstr>signal_noiseDrev</vt:lpstr>
      <vt:lpstr>Overview!signal_noiseE_AOV</vt:lpstr>
      <vt:lpstr>signal_noiseE_AOV</vt:lpstr>
      <vt:lpstr>Overview!signal_noiseErev</vt:lpstr>
      <vt:lpstr>signal_noiseErev</vt:lpstr>
      <vt:lpstr>Overview!signal_noiseF_AOV</vt:lpstr>
      <vt:lpstr>signal_noiseF_AOV</vt:lpstr>
      <vt:lpstr>Overview!signal_noiseFrev</vt:lpstr>
      <vt:lpstr>signal_noiseFrev</vt:lpstr>
      <vt:lpstr>Overview!SignalNoiseA</vt:lpstr>
      <vt:lpstr>SignalNoiseA</vt:lpstr>
      <vt:lpstr>Overview!SignalNoiseB</vt:lpstr>
      <vt:lpstr>SignalNoiseB</vt:lpstr>
      <vt:lpstr>Overview!SignalNoiseC</vt:lpstr>
      <vt:lpstr>SignalNoiseC</vt:lpstr>
      <vt:lpstr>Overview!SignalNoiseD</vt:lpstr>
      <vt:lpstr>SignalNoiseD</vt:lpstr>
      <vt:lpstr>Overview!SignalNoiseE</vt:lpstr>
      <vt:lpstr>SignalNoiseE</vt:lpstr>
      <vt:lpstr>Overview!SignalNoiseF</vt:lpstr>
      <vt:lpstr>SignalNoiseF</vt:lpstr>
      <vt:lpstr>Overview!st_dev_AOV_A</vt:lpstr>
      <vt:lpstr>st_dev_AOV_A</vt:lpstr>
      <vt:lpstr>Overview!st_dev_AOV_B</vt:lpstr>
      <vt:lpstr>st_dev_AOV_B</vt:lpstr>
      <vt:lpstr>Overview!st_dev_AOV_C</vt:lpstr>
      <vt:lpstr>st_dev_AOV_C</vt:lpstr>
      <vt:lpstr>Overview!st_dev_AOV_D</vt:lpstr>
      <vt:lpstr>st_dev_AOV_D</vt:lpstr>
      <vt:lpstr>Overview!st_dev_AOV_E</vt:lpstr>
      <vt:lpstr>st_dev_AOV_E</vt:lpstr>
      <vt:lpstr>Overview!st_dev_AOV_F</vt:lpstr>
      <vt:lpstr>st_dev_AOV_F</vt:lpstr>
      <vt:lpstr>Overview!st_dev_revA</vt:lpstr>
      <vt:lpstr>st_dev_revA</vt:lpstr>
      <vt:lpstr>Overview!st_dev_revB</vt:lpstr>
      <vt:lpstr>st_dev_revB</vt:lpstr>
      <vt:lpstr>Overview!st_dev_revC</vt:lpstr>
      <vt:lpstr>st_dev_revC</vt:lpstr>
      <vt:lpstr>Overview!st_dev_revD</vt:lpstr>
      <vt:lpstr>st_dev_revD</vt:lpstr>
      <vt:lpstr>Overview!st_dev_revE</vt:lpstr>
      <vt:lpstr>st_dev_revE</vt:lpstr>
      <vt:lpstr>Overview!st_dev_revF</vt:lpstr>
      <vt:lpstr>st_dev_revF</vt:lpstr>
      <vt:lpstr>Overview!stdevA</vt:lpstr>
      <vt:lpstr>stdevA</vt:lpstr>
      <vt:lpstr>Overview!stdevB</vt:lpstr>
      <vt:lpstr>stdevB</vt:lpstr>
      <vt:lpstr>Overview!stdevC</vt:lpstr>
      <vt:lpstr>stdevC</vt:lpstr>
      <vt:lpstr>Overview!stdevD</vt:lpstr>
      <vt:lpstr>stdevD</vt:lpstr>
      <vt:lpstr>Overview!stdevE</vt:lpstr>
      <vt:lpstr>stdevE</vt:lpstr>
      <vt:lpstr>Overview!stdevF</vt:lpstr>
      <vt:lpstr>stdevF</vt:lpstr>
      <vt:lpstr>Overview!Sum_Sq_A</vt:lpstr>
      <vt:lpstr>Sum_Sq_A</vt:lpstr>
      <vt:lpstr>Overview!Sum_Sq_B</vt:lpstr>
      <vt:lpstr>Sum_Sq_B</vt:lpstr>
      <vt:lpstr>Overview!Sum_Sq_C</vt:lpstr>
      <vt:lpstr>Sum_Sq_C</vt:lpstr>
      <vt:lpstr>Overview!Sum_Sq_D</vt:lpstr>
      <vt:lpstr>Sum_Sq_D</vt:lpstr>
      <vt:lpstr>Overview!Sum_Sq_E</vt:lpstr>
      <vt:lpstr>Sum_Sq_E</vt:lpstr>
      <vt:lpstr>Overview!Sum_Sq_F</vt:lpstr>
      <vt:lpstr>Sum_Sq_F</vt:lpstr>
      <vt:lpstr>Overview!t_value</vt:lpstr>
      <vt:lpstr>t_value</vt:lpstr>
      <vt:lpstr>Overview!visitorsA</vt:lpstr>
      <vt:lpstr>visitorsA</vt:lpstr>
      <vt:lpstr>Overview!visitorsB</vt:lpstr>
      <vt:lpstr>visitorsB</vt:lpstr>
      <vt:lpstr>Overview!visitorsC</vt:lpstr>
      <vt:lpstr>visitorsC</vt:lpstr>
      <vt:lpstr>Overview!visitorsD</vt:lpstr>
      <vt:lpstr>visitorsD</vt:lpstr>
      <vt:lpstr>Overview!visitorsE</vt:lpstr>
      <vt:lpstr>visitorsE</vt:lpstr>
      <vt:lpstr>Overview!visitorsF</vt:lpstr>
      <vt:lpstr>visitorsF</vt:lpstr>
    </vt:vector>
  </TitlesOfParts>
  <Company>Omniture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Kimen Field</dc:creator>
  <cp:lastModifiedBy>Mark Talbot</cp:lastModifiedBy>
  <cp:lastPrinted>2014-08-07T17:53:08Z</cp:lastPrinted>
  <dcterms:created xsi:type="dcterms:W3CDTF">2008-06-06T19:14:28Z</dcterms:created>
  <dcterms:modified xsi:type="dcterms:W3CDTF">2016-12-13T00:59:29Z</dcterms:modified>
</cp:coreProperties>
</file>